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10" windowWidth="11685" windowHeight="6210" tabRatio="675" activeTab="7"/>
  </bookViews>
  <sheets>
    <sheet name="Machine" sheetId="8" r:id="rId1"/>
    <sheet name="OTDS Tab Calculations" sheetId="21" state="hidden" r:id="rId2"/>
    <sheet name="Machine Calculations" sheetId="10" state="hidden" r:id="rId3"/>
    <sheet name="DS Calculations" sheetId="7" state="hidden" r:id="rId4"/>
    <sheet name="VoP Calculations" sheetId="6" state="hidden" r:id="rId5"/>
    <sheet name="Printing" sheetId="13" state="hidden" r:id="rId6"/>
    <sheet name="Custom Member Calcs" sheetId="18" state="hidden" r:id="rId7"/>
    <sheet name="OTDS" sheetId="20" r:id="rId8"/>
    <sheet name="Custom Member Setup" sheetId="17" r:id="rId9"/>
    <sheet name="VoP Records" sheetId="5" state="hidden" r:id="rId10"/>
    <sheet name="DM+AMS Records" sheetId="15" state="hidden" r:id="rId11"/>
    <sheet name="TDS Records" sheetId="11" state="hidden" r:id="rId12"/>
    <sheet name="TDS Calculations" sheetId="12" state="hidden" r:id="rId13"/>
    <sheet name="Member Limits" sheetId="16" state="hidden" r:id="rId14"/>
    <sheet name="2010 Data" sheetId="1" state="hidden" r:id="rId15"/>
    <sheet name="Lists" sheetId="9" r:id="rId16"/>
    <sheet name="Sheet2" sheetId="2" state="hidden" r:id="rId17"/>
    <sheet name="Currency Conversion" sheetId="3" state="hidden" r:id="rId18"/>
    <sheet name="PS" sheetId="4" state="hidden" r:id="rId19"/>
    <sheet name="VoPs Reference" sheetId="19" state="hidden" r:id="rId20"/>
    <sheet name="Notes" sheetId="14" r:id="rId21"/>
  </sheets>
  <definedNames>
    <definedName name="AMS_DM_Spending">'TDS Calculations'!$A$14:$AA$24</definedName>
    <definedName name="AMS_Limits">'Member Limits'!$A$1:$B$11</definedName>
    <definedName name="AMSMod">Lists!$K$2:$K$3</definedName>
    <definedName name="Article_62_Spending">'TDS Calculations'!$A$42:$AA$52</definedName>
    <definedName name="Average_VoP">'VoP Calculations'!$A$43:$B$52</definedName>
    <definedName name="Blue_Box_Spending">'TDS Calculations'!$A$28:$AA$38</definedName>
    <definedName name="Common_Growth_Rates">Machine!$B$10:$D$12</definedName>
    <definedName name="Custom_Growth_Rates">Machine!$B$14:$D$19</definedName>
    <definedName name="Date_Range_Limits">'Machine Calculations'!$A$32:$B$32</definedName>
    <definedName name="DDComp1">Lists!$P$2:$P$4</definedName>
    <definedName name="DDComp2">Lists!$Q$2:$Q$5</definedName>
    <definedName name="DDComp3">Lists!$R$2:$R$3</definedName>
    <definedName name="DevDev">Lists!$M$2:$M$3</definedName>
    <definedName name="Developed">Lists!$D$2:$D$7</definedName>
    <definedName name="Developing">Lists!$E$2:$E$6</definedName>
    <definedName name="DMMod">Lists!$J$2:$J$3</definedName>
    <definedName name="Four_Way_Subtraction">'Machine Calculations'!$A$143:$Z$147</definedName>
    <definedName name="FrequencyBox">Lists!$T$2:$T$6</definedName>
    <definedName name="GrowthRates_and_Limits">'Machine Calculations'!$A$38:$E$42</definedName>
    <definedName name="Intervals_Developed">'OTDS Tab Calculations'!$A$203:$Z$208</definedName>
    <definedName name="Intervals_Developing">'OTDS Tab Calculations'!$A$211:$Z$216</definedName>
    <definedName name="Limits_Dates">Lists!$G$2:$G$19</definedName>
    <definedName name="Member_Limits">'Member Limits'!$A$1:$D$11</definedName>
    <definedName name="Members">Lists!$C$2:$C$11</definedName>
    <definedName name="MiscMod">Lists!$L$2:$L$5</definedName>
    <definedName name="Mod_AoA_1">'Machine Calculations'!$A$111:$D$115</definedName>
    <definedName name="Mod_AoA_2">'Machine Calculations'!$A$118:$C$122</definedName>
    <definedName name="OTDS_AMS_DM_Spending">'OTDS Tab Calculations'!$132:$142</definedName>
    <definedName name="OTDS_Article62_Spending">'OTDS Tab Calculations'!$A$158:$AA$168</definedName>
    <definedName name="OTDS_BlueBox_Spending">'OTDS Tab Calculations'!$A$145:$AA$155</definedName>
    <definedName name="_xlnm.Print_Area" localSheetId="0">Machine!$B$111:$O$134</definedName>
    <definedName name="_xlnm.Print_Area" localSheetId="18">PS!$A$1:$B$137</definedName>
    <definedName name="Reference_Year">Lists!$B$2:$B$27</definedName>
    <definedName name="ShowHide">Lists!$I$2:$I$3</definedName>
    <definedName name="TDS_Dates">Lists!$H$2:$H$26</definedName>
    <definedName name="TDS_Growth_Rate">Lists!$F$2:$F$52</definedName>
    <definedName name="TDS_Spending">'TDS Calculations'!$A$2:$AA$12</definedName>
    <definedName name="VoP" comment="Values of Production for Members between 2006 and 2030. ">'VoP Calculations'!$A$16:$Z$26</definedName>
    <definedName name="VoP_Growth_Rate">Lists!$A$2:$A$21</definedName>
    <definedName name="VoP_Growth_Rates">'VoP Calculations'!$A$30:$B$40</definedName>
    <definedName name="VoP_OTDS">'OTDS Tab Calculations'!$A$105:$AA$116</definedName>
    <definedName name="VoP_Records">'VoP Records'!$A$2:$I$11</definedName>
    <definedName name="YesNo">Lists!$S$2:$S$3</definedName>
    <definedName name="Z_821D1691_1FA5_412F_8FF4_9E35B3587D16_.wvu.PrintArea" localSheetId="18" hidden="1">PS!$A$1:$B$137</definedName>
  </definedNames>
  <calcPr calcId="145621"/>
  <customWorkbookViews>
    <customWorkbookView name="Default_Machine" guid="{821D1691-1FA5-412F-8FF4-9E35B3587D16}" maximized="1" windowWidth="1596" windowHeight="555" activeSheetId="8"/>
  </customWorkbookViews>
  <webPublishing css="0" allowPng="1" targetScreenSize="1024x768" codePage="1252"/>
</workbook>
</file>

<file path=xl/calcChain.xml><?xml version="1.0" encoding="utf-8"?>
<calcChain xmlns="http://schemas.openxmlformats.org/spreadsheetml/2006/main">
  <c r="A268" i="21" l="1"/>
  <c r="A260" i="21"/>
  <c r="A261" i="21"/>
  <c r="A262" i="21"/>
  <c r="A263" i="21"/>
  <c r="A264" i="21"/>
  <c r="A265" i="21"/>
  <c r="A266" i="21"/>
  <c r="A267" i="21"/>
  <c r="A259" i="21"/>
  <c r="B247" i="21"/>
  <c r="B248" i="21"/>
  <c r="B249" i="21"/>
  <c r="B250" i="21"/>
  <c r="B251" i="21"/>
  <c r="B252" i="21"/>
  <c r="B253" i="21"/>
  <c r="B254" i="21"/>
  <c r="B255" i="21"/>
  <c r="B246" i="21"/>
  <c r="A255" i="21"/>
  <c r="A247" i="21"/>
  <c r="A248" i="21"/>
  <c r="A249" i="21"/>
  <c r="A250" i="21"/>
  <c r="A251" i="21"/>
  <c r="A252" i="21"/>
  <c r="A253" i="21"/>
  <c r="A254" i="21"/>
  <c r="A246" i="21"/>
  <c r="D238" i="21"/>
  <c r="D237" i="21"/>
  <c r="E235" i="21"/>
  <c r="D235" i="21"/>
  <c r="E234" i="21"/>
  <c r="D234" i="21"/>
  <c r="A234" i="21"/>
  <c r="A235" i="21"/>
  <c r="A236" i="21"/>
  <c r="A237" i="21"/>
  <c r="A238" i="21"/>
  <c r="A239" i="21"/>
  <c r="A240" i="21"/>
  <c r="A241" i="21"/>
  <c r="A233" i="21"/>
  <c r="B134" i="21" l="1"/>
  <c r="B135" i="21"/>
  <c r="B136" i="21"/>
  <c r="B137" i="21"/>
  <c r="B138" i="21"/>
  <c r="B139" i="21"/>
  <c r="B140" i="21"/>
  <c r="B141" i="21"/>
  <c r="B142" i="21"/>
  <c r="B133" i="21"/>
  <c r="B108" i="21"/>
  <c r="B109" i="21"/>
  <c r="B110" i="21"/>
  <c r="B111" i="21"/>
  <c r="B112" i="21"/>
  <c r="B113" i="21"/>
  <c r="B114" i="21"/>
  <c r="B115" i="21"/>
  <c r="B116" i="21"/>
  <c r="B107" i="21"/>
  <c r="B132" i="21"/>
  <c r="B106" i="21"/>
  <c r="D186" i="21"/>
  <c r="E186" i="21"/>
  <c r="E185" i="21"/>
  <c r="D185" i="21"/>
  <c r="C186" i="21"/>
  <c r="B186" i="21"/>
  <c r="C185" i="21"/>
  <c r="B185" i="21"/>
  <c r="B193" i="21" l="1"/>
  <c r="B206" i="21"/>
  <c r="B207" i="21"/>
  <c r="B208" i="21"/>
  <c r="B205" i="21"/>
  <c r="C193" i="21"/>
  <c r="D193" i="21" s="1"/>
  <c r="E193" i="21" s="1"/>
  <c r="F193" i="21" s="1"/>
  <c r="G193" i="21" s="1"/>
  <c r="H193" i="21" s="1"/>
  <c r="I193" i="21" s="1"/>
  <c r="J193" i="21" s="1"/>
  <c r="K193" i="21" s="1"/>
  <c r="L193" i="21" s="1"/>
  <c r="M193" i="21" s="1"/>
  <c r="N193" i="21" s="1"/>
  <c r="O193" i="21" s="1"/>
  <c r="P193" i="21" s="1"/>
  <c r="Q193" i="21" s="1"/>
  <c r="R193" i="21" s="1"/>
  <c r="S193" i="21" s="1"/>
  <c r="T193" i="21" s="1"/>
  <c r="U193" i="21" s="1"/>
  <c r="V193" i="21" s="1"/>
  <c r="W193" i="21" s="1"/>
  <c r="X193" i="21" s="1"/>
  <c r="Y193" i="21" s="1"/>
  <c r="Z193" i="21" s="1"/>
  <c r="AA193" i="21" s="1"/>
  <c r="AB193" i="21" s="1"/>
  <c r="AC193" i="21" s="1"/>
  <c r="AD193" i="21" s="1"/>
  <c r="B198" i="21"/>
  <c r="C198" i="21" s="1"/>
  <c r="D198" i="21" s="1"/>
  <c r="E198" i="21" s="1"/>
  <c r="F198" i="21" s="1"/>
  <c r="G198" i="21" s="1"/>
  <c r="H198" i="21" s="1"/>
  <c r="I198" i="21" s="1"/>
  <c r="J198" i="21" s="1"/>
  <c r="K198" i="21" s="1"/>
  <c r="L198" i="21" s="1"/>
  <c r="M198" i="21" s="1"/>
  <c r="N198" i="21" s="1"/>
  <c r="O198" i="21" s="1"/>
  <c r="P198" i="21" s="1"/>
  <c r="Q198" i="21" s="1"/>
  <c r="R198" i="21" s="1"/>
  <c r="S198" i="21" s="1"/>
  <c r="T198" i="21" s="1"/>
  <c r="U198" i="21" s="1"/>
  <c r="V198" i="21" s="1"/>
  <c r="W198" i="21" s="1"/>
  <c r="X198" i="21" s="1"/>
  <c r="Y198" i="21" s="1"/>
  <c r="Z198" i="21" s="1"/>
  <c r="AA198" i="21" s="1"/>
  <c r="AB198" i="21" s="1"/>
  <c r="AC198" i="21" s="1"/>
  <c r="AD198" i="21" s="1"/>
  <c r="B197" i="21"/>
  <c r="C197" i="21" s="1"/>
  <c r="D197" i="21" s="1"/>
  <c r="E197" i="21" s="1"/>
  <c r="F197" i="21" s="1"/>
  <c r="G197" i="21" s="1"/>
  <c r="H197" i="21" s="1"/>
  <c r="I197" i="21" s="1"/>
  <c r="J197" i="21" s="1"/>
  <c r="K197" i="21" s="1"/>
  <c r="L197" i="21" s="1"/>
  <c r="M197" i="21" s="1"/>
  <c r="N197" i="21" s="1"/>
  <c r="O197" i="21" s="1"/>
  <c r="P197" i="21" s="1"/>
  <c r="Q197" i="21" s="1"/>
  <c r="R197" i="21" s="1"/>
  <c r="S197" i="21" s="1"/>
  <c r="T197" i="21" s="1"/>
  <c r="U197" i="21" s="1"/>
  <c r="V197" i="21" s="1"/>
  <c r="W197" i="21" s="1"/>
  <c r="X197" i="21" s="1"/>
  <c r="Y197" i="21" s="1"/>
  <c r="Z197" i="21" s="1"/>
  <c r="AA197" i="21" s="1"/>
  <c r="AB197" i="21" s="1"/>
  <c r="AC197" i="21" s="1"/>
  <c r="AD197" i="21" s="1"/>
  <c r="B196" i="21"/>
  <c r="B200" i="21"/>
  <c r="C200" i="21" s="1"/>
  <c r="D200" i="21" s="1"/>
  <c r="E200" i="21" s="1"/>
  <c r="F200" i="21" s="1"/>
  <c r="G200" i="21" s="1"/>
  <c r="H200" i="21" s="1"/>
  <c r="I200" i="21" s="1"/>
  <c r="J200" i="21" s="1"/>
  <c r="K200" i="21" s="1"/>
  <c r="L200" i="21" s="1"/>
  <c r="M200" i="21" s="1"/>
  <c r="N200" i="21" s="1"/>
  <c r="O200" i="21" s="1"/>
  <c r="P200" i="21" s="1"/>
  <c r="Q200" i="21" s="1"/>
  <c r="R200" i="21" s="1"/>
  <c r="S200" i="21" s="1"/>
  <c r="T200" i="21" s="1"/>
  <c r="U200" i="21" s="1"/>
  <c r="V200" i="21" s="1"/>
  <c r="W200" i="21" s="1"/>
  <c r="X200" i="21" s="1"/>
  <c r="Y200" i="21" s="1"/>
  <c r="Z200" i="21" s="1"/>
  <c r="AA200" i="21" s="1"/>
  <c r="AB200" i="21" s="1"/>
  <c r="AC200" i="21" s="1"/>
  <c r="AD200" i="21" s="1"/>
  <c r="C216" i="21"/>
  <c r="D216" i="21" s="1"/>
  <c r="E216" i="21" s="1"/>
  <c r="F216" i="21" s="1"/>
  <c r="G216" i="21" s="1"/>
  <c r="H216" i="21" s="1"/>
  <c r="I216" i="21" s="1"/>
  <c r="J216" i="21" s="1"/>
  <c r="K216" i="21" s="1"/>
  <c r="B199" i="21"/>
  <c r="C199" i="21" s="1"/>
  <c r="D199" i="21" s="1"/>
  <c r="E199" i="21" s="1"/>
  <c r="F199" i="21" s="1"/>
  <c r="G199" i="21" s="1"/>
  <c r="H199" i="21" s="1"/>
  <c r="I199" i="21" s="1"/>
  <c r="J199" i="21" s="1"/>
  <c r="K199" i="21" s="1"/>
  <c r="L199" i="21" s="1"/>
  <c r="M199" i="21" s="1"/>
  <c r="N199" i="21" s="1"/>
  <c r="O199" i="21" s="1"/>
  <c r="P199" i="21" s="1"/>
  <c r="Q199" i="21" s="1"/>
  <c r="R199" i="21" s="1"/>
  <c r="S199" i="21" s="1"/>
  <c r="T199" i="21" s="1"/>
  <c r="U199" i="21" s="1"/>
  <c r="V199" i="21" s="1"/>
  <c r="W199" i="21" s="1"/>
  <c r="X199" i="21" s="1"/>
  <c r="Y199" i="21" s="1"/>
  <c r="Z199" i="21" s="1"/>
  <c r="AA199" i="21" s="1"/>
  <c r="AB199" i="21" s="1"/>
  <c r="AC199" i="21" s="1"/>
  <c r="AD199" i="21" s="1"/>
  <c r="B214" i="21"/>
  <c r="B213" i="21"/>
  <c r="B212" i="21"/>
  <c r="C212" i="21" s="1"/>
  <c r="D212" i="21" s="1"/>
  <c r="E212" i="21" s="1"/>
  <c r="F212" i="21" s="1"/>
  <c r="G212" i="21" s="1"/>
  <c r="H212" i="21" s="1"/>
  <c r="I212" i="21" s="1"/>
  <c r="J212" i="21" s="1"/>
  <c r="K212" i="21" s="1"/>
  <c r="B216" i="21"/>
  <c r="B215" i="21"/>
  <c r="C208" i="21"/>
  <c r="D208" i="21" s="1"/>
  <c r="E208" i="21" s="1"/>
  <c r="F208" i="21" s="1"/>
  <c r="G208" i="21" s="1"/>
  <c r="H208" i="21" s="1"/>
  <c r="I208" i="21" s="1"/>
  <c r="J208" i="21" s="1"/>
  <c r="K208" i="21" s="1"/>
  <c r="L208" i="21" s="1"/>
  <c r="M208" i="21" s="1"/>
  <c r="N208" i="21" s="1"/>
  <c r="O208" i="21" s="1"/>
  <c r="B191" i="21"/>
  <c r="C191" i="21" s="1"/>
  <c r="D191" i="21" s="1"/>
  <c r="E191" i="21" s="1"/>
  <c r="F191" i="21" s="1"/>
  <c r="G191" i="21" s="1"/>
  <c r="H191" i="21" s="1"/>
  <c r="I191" i="21" s="1"/>
  <c r="J191" i="21" s="1"/>
  <c r="K191" i="21" s="1"/>
  <c r="L191" i="21" s="1"/>
  <c r="M191" i="21" s="1"/>
  <c r="N191" i="21" s="1"/>
  <c r="O191" i="21" s="1"/>
  <c r="P191" i="21" s="1"/>
  <c r="Q191" i="21" s="1"/>
  <c r="R191" i="21" s="1"/>
  <c r="S191" i="21" s="1"/>
  <c r="T191" i="21" s="1"/>
  <c r="U191" i="21" s="1"/>
  <c r="V191" i="21" s="1"/>
  <c r="W191" i="21" s="1"/>
  <c r="X191" i="21" s="1"/>
  <c r="Y191" i="21" s="1"/>
  <c r="Z191" i="21" s="1"/>
  <c r="AA191" i="21" s="1"/>
  <c r="AB191" i="21" s="1"/>
  <c r="AC191" i="21" s="1"/>
  <c r="AD191" i="21" s="1"/>
  <c r="B204" i="21"/>
  <c r="B189" i="21"/>
  <c r="B192" i="21"/>
  <c r="B190" i="21"/>
  <c r="B12" i="21"/>
  <c r="C215" i="21" l="1"/>
  <c r="D215" i="21" s="1"/>
  <c r="E215" i="21" s="1"/>
  <c r="F215" i="21" s="1"/>
  <c r="G215" i="21" s="1"/>
  <c r="H215" i="21" s="1"/>
  <c r="I215" i="21" s="1"/>
  <c r="J215" i="21" s="1"/>
  <c r="K215" i="21" s="1"/>
  <c r="L215" i="21" s="1"/>
  <c r="M215" i="21" s="1"/>
  <c r="N215" i="21" s="1"/>
  <c r="O215" i="21" s="1"/>
  <c r="P215" i="21" s="1"/>
  <c r="Q215" i="21" s="1"/>
  <c r="R215" i="21" s="1"/>
  <c r="S215" i="21" s="1"/>
  <c r="T215" i="21" s="1"/>
  <c r="U215" i="21" s="1"/>
  <c r="V215" i="21" s="1"/>
  <c r="W215" i="21" s="1"/>
  <c r="X215" i="21" s="1"/>
  <c r="Y215" i="21" s="1"/>
  <c r="Z215" i="21" s="1"/>
  <c r="C213" i="21"/>
  <c r="D213" i="21" s="1"/>
  <c r="E213" i="21" s="1"/>
  <c r="F213" i="21" s="1"/>
  <c r="G213" i="21" s="1"/>
  <c r="H213" i="21" s="1"/>
  <c r="I213" i="21" s="1"/>
  <c r="J213" i="21" s="1"/>
  <c r="K213" i="21" s="1"/>
  <c r="L213" i="21" s="1"/>
  <c r="M213" i="21" s="1"/>
  <c r="N213" i="21" s="1"/>
  <c r="O213" i="21" s="1"/>
  <c r="P213" i="21" s="1"/>
  <c r="Q213" i="21" s="1"/>
  <c r="R213" i="21" s="1"/>
  <c r="S213" i="21" s="1"/>
  <c r="T213" i="21" s="1"/>
  <c r="U213" i="21" s="1"/>
  <c r="V213" i="21" s="1"/>
  <c r="W213" i="21" s="1"/>
  <c r="X213" i="21" s="1"/>
  <c r="Y213" i="21" s="1"/>
  <c r="Z213" i="21" s="1"/>
  <c r="C214" i="21"/>
  <c r="D214" i="21" s="1"/>
  <c r="E214" i="21" s="1"/>
  <c r="F214" i="21" s="1"/>
  <c r="G214" i="21" s="1"/>
  <c r="H214" i="21" s="1"/>
  <c r="I214" i="21" s="1"/>
  <c r="J214" i="21" s="1"/>
  <c r="K214" i="21" s="1"/>
  <c r="L214" i="21" s="1"/>
  <c r="M214" i="21" s="1"/>
  <c r="N214" i="21" s="1"/>
  <c r="O214" i="21" s="1"/>
  <c r="P214" i="21" s="1"/>
  <c r="Q214" i="21" s="1"/>
  <c r="R214" i="21" s="1"/>
  <c r="S214" i="21" s="1"/>
  <c r="T214" i="21" s="1"/>
  <c r="U214" i="21" s="1"/>
  <c r="V214" i="21" s="1"/>
  <c r="W214" i="21" s="1"/>
  <c r="X214" i="21" s="1"/>
  <c r="Y214" i="21" s="1"/>
  <c r="Z214" i="21" s="1"/>
  <c r="F185" i="21"/>
  <c r="P208" i="21"/>
  <c r="Q208" i="21" s="1"/>
  <c r="R208" i="21" s="1"/>
  <c r="S208" i="21" s="1"/>
  <c r="T208" i="21" s="1"/>
  <c r="U208" i="21" s="1"/>
  <c r="V208" i="21" s="1"/>
  <c r="W208" i="21" s="1"/>
  <c r="X208" i="21" s="1"/>
  <c r="Y208" i="21" s="1"/>
  <c r="Z208" i="21" s="1"/>
  <c r="L212" i="21"/>
  <c r="M212" i="21" s="1"/>
  <c r="N212" i="21" s="1"/>
  <c r="O212" i="21" s="1"/>
  <c r="P212" i="21" s="1"/>
  <c r="Q212" i="21" s="1"/>
  <c r="R212" i="21" s="1"/>
  <c r="S212" i="21" s="1"/>
  <c r="T212" i="21" s="1"/>
  <c r="U212" i="21" s="1"/>
  <c r="V212" i="21" s="1"/>
  <c r="W212" i="21" s="1"/>
  <c r="X212" i="21" s="1"/>
  <c r="Y212" i="21" s="1"/>
  <c r="Z212" i="21" s="1"/>
  <c r="L216" i="21"/>
  <c r="M216" i="21" s="1"/>
  <c r="N216" i="21" s="1"/>
  <c r="O216" i="21" s="1"/>
  <c r="P216" i="21" s="1"/>
  <c r="Q216" i="21" s="1"/>
  <c r="R216" i="21" s="1"/>
  <c r="S216" i="21" s="1"/>
  <c r="T216" i="21" s="1"/>
  <c r="U216" i="21" s="1"/>
  <c r="V216" i="21" s="1"/>
  <c r="W216" i="21" s="1"/>
  <c r="X216" i="21" s="1"/>
  <c r="Y216" i="21" s="1"/>
  <c r="Z216" i="21" s="1"/>
  <c r="C206" i="21"/>
  <c r="D206" i="21" s="1"/>
  <c r="E206" i="21" s="1"/>
  <c r="F206" i="21" s="1"/>
  <c r="G206" i="21" s="1"/>
  <c r="H206" i="21" s="1"/>
  <c r="I206" i="21" s="1"/>
  <c r="J206" i="21" s="1"/>
  <c r="K206" i="21" s="1"/>
  <c r="L206" i="21" s="1"/>
  <c r="M206" i="21" s="1"/>
  <c r="N206" i="21" s="1"/>
  <c r="O206" i="21" s="1"/>
  <c r="P206" i="21" s="1"/>
  <c r="Q206" i="21" s="1"/>
  <c r="R206" i="21" s="1"/>
  <c r="S206" i="21" s="1"/>
  <c r="T206" i="21" s="1"/>
  <c r="U206" i="21" s="1"/>
  <c r="V206" i="21" s="1"/>
  <c r="W206" i="21" s="1"/>
  <c r="X206" i="21" s="1"/>
  <c r="Y206" i="21" s="1"/>
  <c r="Z206" i="21" s="1"/>
  <c r="C204" i="21"/>
  <c r="C190" i="21"/>
  <c r="D190" i="21" s="1"/>
  <c r="E190" i="21" s="1"/>
  <c r="F190" i="21" s="1"/>
  <c r="G190" i="21" s="1"/>
  <c r="H190" i="21" s="1"/>
  <c r="I190" i="21" s="1"/>
  <c r="J190" i="21" s="1"/>
  <c r="K190" i="21" s="1"/>
  <c r="L190" i="21" s="1"/>
  <c r="M190" i="21" s="1"/>
  <c r="N190" i="21" s="1"/>
  <c r="O190" i="21" s="1"/>
  <c r="P190" i="21" s="1"/>
  <c r="Q190" i="21" s="1"/>
  <c r="R190" i="21" s="1"/>
  <c r="S190" i="21" s="1"/>
  <c r="T190" i="21" s="1"/>
  <c r="U190" i="21" s="1"/>
  <c r="V190" i="21" s="1"/>
  <c r="W190" i="21" s="1"/>
  <c r="X190" i="21" s="1"/>
  <c r="Y190" i="21" s="1"/>
  <c r="Z190" i="21" s="1"/>
  <c r="AA190" i="21" s="1"/>
  <c r="AB190" i="21" s="1"/>
  <c r="AC190" i="21" s="1"/>
  <c r="AD190" i="21" s="1"/>
  <c r="C192" i="21"/>
  <c r="H168" i="21"/>
  <c r="I168" i="21"/>
  <c r="J168" i="21"/>
  <c r="K168" i="21"/>
  <c r="L168" i="21"/>
  <c r="H167" i="21"/>
  <c r="I167" i="21"/>
  <c r="H166" i="21"/>
  <c r="I166" i="21"/>
  <c r="H165" i="21"/>
  <c r="H164" i="21"/>
  <c r="H163" i="21"/>
  <c r="I163" i="21"/>
  <c r="J163" i="21"/>
  <c r="H161" i="21"/>
  <c r="I161" i="21"/>
  <c r="H160" i="21"/>
  <c r="I160" i="21"/>
  <c r="J160" i="21"/>
  <c r="K160" i="21"/>
  <c r="H159" i="21"/>
  <c r="I159" i="21"/>
  <c r="J159" i="21"/>
  <c r="K159" i="21"/>
  <c r="D159" i="21"/>
  <c r="E159" i="21"/>
  <c r="F159" i="21"/>
  <c r="G159" i="21"/>
  <c r="D160" i="21"/>
  <c r="E160" i="21"/>
  <c r="F160" i="21"/>
  <c r="G160" i="21"/>
  <c r="D161" i="21"/>
  <c r="E161" i="21"/>
  <c r="F161" i="21"/>
  <c r="G161" i="21"/>
  <c r="D162" i="21"/>
  <c r="E162" i="21"/>
  <c r="F162" i="21"/>
  <c r="G162" i="21"/>
  <c r="D163" i="21"/>
  <c r="E163" i="21"/>
  <c r="F163" i="21"/>
  <c r="G163" i="21"/>
  <c r="D164" i="21"/>
  <c r="E164" i="21"/>
  <c r="F164" i="21"/>
  <c r="G164" i="21"/>
  <c r="D165" i="21"/>
  <c r="E165" i="21"/>
  <c r="F165" i="21"/>
  <c r="G165" i="21"/>
  <c r="D166" i="21"/>
  <c r="E166" i="21"/>
  <c r="F166" i="21"/>
  <c r="G166" i="21"/>
  <c r="D167" i="21"/>
  <c r="E167" i="21"/>
  <c r="F167" i="21"/>
  <c r="G167" i="21"/>
  <c r="D168" i="21"/>
  <c r="E168" i="21"/>
  <c r="F168" i="21"/>
  <c r="G168" i="21"/>
  <c r="C160" i="21"/>
  <c r="C161" i="21"/>
  <c r="C162" i="21"/>
  <c r="C163" i="21"/>
  <c r="C164" i="21"/>
  <c r="C165" i="21"/>
  <c r="C166" i="21"/>
  <c r="C167" i="21"/>
  <c r="C168" i="21"/>
  <c r="C159" i="21"/>
  <c r="D147" i="21"/>
  <c r="E147" i="21"/>
  <c r="F147" i="21"/>
  <c r="G147" i="21"/>
  <c r="H147" i="21"/>
  <c r="I147" i="21"/>
  <c r="J147" i="21"/>
  <c r="K147" i="21"/>
  <c r="D148" i="21"/>
  <c r="E148" i="21"/>
  <c r="F148" i="21"/>
  <c r="G148" i="21"/>
  <c r="H148" i="21"/>
  <c r="I148" i="21"/>
  <c r="D149" i="21"/>
  <c r="E149" i="21"/>
  <c r="F149" i="21"/>
  <c r="G149" i="21"/>
  <c r="D150" i="21"/>
  <c r="E150" i="21"/>
  <c r="F150" i="21"/>
  <c r="G150" i="21"/>
  <c r="H150" i="21"/>
  <c r="I150" i="21"/>
  <c r="J150" i="21"/>
  <c r="D151" i="21"/>
  <c r="E151" i="21"/>
  <c r="F151" i="21"/>
  <c r="G151" i="21"/>
  <c r="H151" i="21"/>
  <c r="D152" i="21"/>
  <c r="E152" i="21"/>
  <c r="F152" i="21"/>
  <c r="G152" i="21"/>
  <c r="H152" i="21"/>
  <c r="D153" i="21"/>
  <c r="E153" i="21"/>
  <c r="F153" i="21"/>
  <c r="G153" i="21"/>
  <c r="H153" i="21"/>
  <c r="I153" i="21"/>
  <c r="D154" i="21"/>
  <c r="E154" i="21"/>
  <c r="F154" i="21"/>
  <c r="G154" i="21"/>
  <c r="H154" i="21"/>
  <c r="I154" i="21"/>
  <c r="D155" i="21"/>
  <c r="E155" i="21"/>
  <c r="F155" i="21"/>
  <c r="G155" i="21"/>
  <c r="H155" i="21"/>
  <c r="I155" i="21"/>
  <c r="J155" i="21"/>
  <c r="K155" i="21"/>
  <c r="L155" i="21"/>
  <c r="C147" i="21"/>
  <c r="C148" i="21"/>
  <c r="C149" i="21"/>
  <c r="C150" i="21"/>
  <c r="C151" i="21"/>
  <c r="C152" i="21"/>
  <c r="C153" i="21"/>
  <c r="C154" i="21"/>
  <c r="C155" i="21"/>
  <c r="D146" i="21"/>
  <c r="E146" i="21"/>
  <c r="F146" i="21"/>
  <c r="G146" i="21"/>
  <c r="H146" i="21"/>
  <c r="I146" i="21"/>
  <c r="J146" i="21"/>
  <c r="K146" i="21"/>
  <c r="C146" i="21"/>
  <c r="D141" i="21"/>
  <c r="E141" i="21"/>
  <c r="F141" i="21"/>
  <c r="G141" i="21"/>
  <c r="H141" i="21"/>
  <c r="I141" i="21"/>
  <c r="D140" i="21"/>
  <c r="E140" i="21"/>
  <c r="F140" i="21"/>
  <c r="G140" i="21"/>
  <c r="H140" i="21"/>
  <c r="I140" i="21"/>
  <c r="J140" i="21" s="1"/>
  <c r="K140" i="21" s="1"/>
  <c r="L140" i="21" s="1"/>
  <c r="M140" i="21" s="1"/>
  <c r="N140" i="21" s="1"/>
  <c r="O140" i="21" s="1"/>
  <c r="P140" i="21" s="1"/>
  <c r="Q140" i="21" s="1"/>
  <c r="R140" i="21" s="1"/>
  <c r="S140" i="21" s="1"/>
  <c r="T140" i="21" s="1"/>
  <c r="U140" i="21" s="1"/>
  <c r="V140" i="21" s="1"/>
  <c r="W140" i="21" s="1"/>
  <c r="X140" i="21" s="1"/>
  <c r="Y140" i="21" s="1"/>
  <c r="Z140" i="21" s="1"/>
  <c r="AA140" i="21" s="1"/>
  <c r="D139" i="21"/>
  <c r="E139" i="21"/>
  <c r="F139" i="21"/>
  <c r="G139" i="21"/>
  <c r="H139" i="21"/>
  <c r="I139" i="21" s="1"/>
  <c r="J139" i="21" s="1"/>
  <c r="K139" i="21" s="1"/>
  <c r="L139" i="21" s="1"/>
  <c r="M139" i="21" s="1"/>
  <c r="N139" i="21" s="1"/>
  <c r="O139" i="21" s="1"/>
  <c r="P139" i="21" s="1"/>
  <c r="Q139" i="21" s="1"/>
  <c r="R139" i="21" s="1"/>
  <c r="S139" i="21" s="1"/>
  <c r="T139" i="21" s="1"/>
  <c r="U139" i="21" s="1"/>
  <c r="V139" i="21" s="1"/>
  <c r="W139" i="21" s="1"/>
  <c r="X139" i="21" s="1"/>
  <c r="Y139" i="21" s="1"/>
  <c r="Z139" i="21" s="1"/>
  <c r="AA139" i="21" s="1"/>
  <c r="D138" i="21"/>
  <c r="E138" i="21"/>
  <c r="F138" i="21"/>
  <c r="G138" i="21"/>
  <c r="H138" i="21"/>
  <c r="D137" i="21"/>
  <c r="E137" i="21"/>
  <c r="F137" i="21"/>
  <c r="G137" i="21"/>
  <c r="H137" i="21"/>
  <c r="I137" i="21"/>
  <c r="J137" i="21"/>
  <c r="K137" i="21" s="1"/>
  <c r="L137" i="21" s="1"/>
  <c r="M137" i="21" s="1"/>
  <c r="N137" i="21" s="1"/>
  <c r="O137" i="21" s="1"/>
  <c r="P137" i="21" s="1"/>
  <c r="Q137" i="21" s="1"/>
  <c r="R137" i="21" s="1"/>
  <c r="S137" i="21" s="1"/>
  <c r="T137" i="21" s="1"/>
  <c r="U137" i="21" s="1"/>
  <c r="V137" i="21" s="1"/>
  <c r="W137" i="21" s="1"/>
  <c r="X137" i="21" s="1"/>
  <c r="Y137" i="21" s="1"/>
  <c r="Z137" i="21" s="1"/>
  <c r="AA137" i="21" s="1"/>
  <c r="D136" i="21"/>
  <c r="E136" i="21"/>
  <c r="F136" i="21"/>
  <c r="G136" i="21"/>
  <c r="H136" i="21" s="1"/>
  <c r="I136" i="21" s="1"/>
  <c r="J136" i="21" s="1"/>
  <c r="K136" i="21" s="1"/>
  <c r="L136" i="21" s="1"/>
  <c r="M136" i="21" s="1"/>
  <c r="N136" i="21" s="1"/>
  <c r="O136" i="21" s="1"/>
  <c r="P136" i="21" s="1"/>
  <c r="Q136" i="21" s="1"/>
  <c r="R136" i="21" s="1"/>
  <c r="S136" i="21" s="1"/>
  <c r="T136" i="21" s="1"/>
  <c r="U136" i="21" s="1"/>
  <c r="V136" i="21" s="1"/>
  <c r="W136" i="21" s="1"/>
  <c r="X136" i="21" s="1"/>
  <c r="Y136" i="21" s="1"/>
  <c r="Z136" i="21" s="1"/>
  <c r="AA136" i="21" s="1"/>
  <c r="D135" i="21"/>
  <c r="E135" i="21"/>
  <c r="F135" i="21"/>
  <c r="G135" i="21"/>
  <c r="H135" i="21"/>
  <c r="I135" i="21"/>
  <c r="J135" i="21" s="1"/>
  <c r="K135" i="21" s="1"/>
  <c r="L135" i="21" s="1"/>
  <c r="M135" i="21" s="1"/>
  <c r="N135" i="21" s="1"/>
  <c r="O135" i="21" s="1"/>
  <c r="P135" i="21" s="1"/>
  <c r="Q135" i="21" s="1"/>
  <c r="R135" i="21" s="1"/>
  <c r="S135" i="21" s="1"/>
  <c r="T135" i="21" s="1"/>
  <c r="U135" i="21" s="1"/>
  <c r="V135" i="21" s="1"/>
  <c r="W135" i="21" s="1"/>
  <c r="X135" i="21" s="1"/>
  <c r="Y135" i="21" s="1"/>
  <c r="Z135" i="21" s="1"/>
  <c r="AA135" i="21" s="1"/>
  <c r="D134" i="21"/>
  <c r="E134" i="21"/>
  <c r="F134" i="21"/>
  <c r="G134" i="21"/>
  <c r="H134" i="21"/>
  <c r="I134" i="21"/>
  <c r="J134" i="21"/>
  <c r="K134" i="21"/>
  <c r="C134" i="21"/>
  <c r="C135" i="21"/>
  <c r="C136" i="21"/>
  <c r="C137" i="21"/>
  <c r="C138" i="21"/>
  <c r="C139" i="21"/>
  <c r="C140" i="21"/>
  <c r="C141" i="21"/>
  <c r="D133" i="21"/>
  <c r="E133" i="21"/>
  <c r="F133" i="21"/>
  <c r="G133" i="21"/>
  <c r="H133" i="21"/>
  <c r="I133" i="21"/>
  <c r="J133" i="21"/>
  <c r="K133" i="21"/>
  <c r="L133" i="21" s="1"/>
  <c r="M133" i="21" s="1"/>
  <c r="N133" i="21" s="1"/>
  <c r="O133" i="21" s="1"/>
  <c r="P133" i="21" s="1"/>
  <c r="Q133" i="21" s="1"/>
  <c r="R133" i="21" s="1"/>
  <c r="S133" i="21" s="1"/>
  <c r="T133" i="21" s="1"/>
  <c r="U133" i="21" s="1"/>
  <c r="V133" i="21" s="1"/>
  <c r="W133" i="21" s="1"/>
  <c r="X133" i="21" s="1"/>
  <c r="Y133" i="21" s="1"/>
  <c r="Z133" i="21" s="1"/>
  <c r="AA133" i="21" s="1"/>
  <c r="C133" i="21"/>
  <c r="B146" i="21"/>
  <c r="B159" i="21" s="1"/>
  <c r="B150" i="21"/>
  <c r="B163" i="21" s="1"/>
  <c r="B153" i="21"/>
  <c r="B166" i="21" s="1"/>
  <c r="B155" i="21"/>
  <c r="B168" i="21" s="1"/>
  <c r="A142" i="21"/>
  <c r="A155" i="21" s="1"/>
  <c r="A168" i="21" s="1"/>
  <c r="A140" i="21"/>
  <c r="A153" i="21" s="1"/>
  <c r="A166" i="21" s="1"/>
  <c r="A141" i="21"/>
  <c r="A154" i="21" s="1"/>
  <c r="A167" i="21" s="1"/>
  <c r="B154" i="21"/>
  <c r="A133" i="21"/>
  <c r="A146" i="21" s="1"/>
  <c r="A159" i="21" s="1"/>
  <c r="A134" i="21"/>
  <c r="A147" i="21" s="1"/>
  <c r="A160" i="21" s="1"/>
  <c r="L134" i="21"/>
  <c r="M134" i="21" s="1"/>
  <c r="N134" i="21" s="1"/>
  <c r="O134" i="21" s="1"/>
  <c r="P134" i="21" s="1"/>
  <c r="Q134" i="21" s="1"/>
  <c r="R134" i="21" s="1"/>
  <c r="S134" i="21" s="1"/>
  <c r="T134" i="21" s="1"/>
  <c r="U134" i="21" s="1"/>
  <c r="V134" i="21" s="1"/>
  <c r="W134" i="21" s="1"/>
  <c r="X134" i="21" s="1"/>
  <c r="Y134" i="21" s="1"/>
  <c r="Z134" i="21" s="1"/>
  <c r="AA134" i="21" s="1"/>
  <c r="A135" i="21"/>
  <c r="A148" i="21" s="1"/>
  <c r="A161" i="21" s="1"/>
  <c r="B148" i="21"/>
  <c r="B161" i="21" s="1"/>
  <c r="A136" i="21"/>
  <c r="A149" i="21" s="1"/>
  <c r="A162" i="21" s="1"/>
  <c r="A137" i="21"/>
  <c r="A150" i="21" s="1"/>
  <c r="A163" i="21" s="1"/>
  <c r="A138" i="21"/>
  <c r="A151" i="21" s="1"/>
  <c r="A164" i="21" s="1"/>
  <c r="B151" i="21"/>
  <c r="B164" i="21" s="1"/>
  <c r="A139" i="21"/>
  <c r="A152" i="21" s="1"/>
  <c r="A165" i="21" s="1"/>
  <c r="B152" i="21"/>
  <c r="AA158" i="21"/>
  <c r="Z171" i="21" s="1"/>
  <c r="K158" i="21"/>
  <c r="J171" i="21" s="1"/>
  <c r="L158" i="21"/>
  <c r="K171" i="21" s="1"/>
  <c r="M158" i="21"/>
  <c r="L171" i="21" s="1"/>
  <c r="N158" i="21"/>
  <c r="M171" i="21" s="1"/>
  <c r="O158" i="21"/>
  <c r="N171" i="21" s="1"/>
  <c r="P158" i="21"/>
  <c r="O171" i="21" s="1"/>
  <c r="Q158" i="21"/>
  <c r="P171" i="21" s="1"/>
  <c r="R158" i="21"/>
  <c r="Q171" i="21" s="1"/>
  <c r="S158" i="21"/>
  <c r="R171" i="21" s="1"/>
  <c r="T158" i="21"/>
  <c r="S171" i="21" s="1"/>
  <c r="U158" i="21"/>
  <c r="T171" i="21" s="1"/>
  <c r="V158" i="21"/>
  <c r="U171" i="21" s="1"/>
  <c r="W158" i="21"/>
  <c r="V171" i="21" s="1"/>
  <c r="X158" i="21"/>
  <c r="W171" i="21" s="1"/>
  <c r="Y158" i="21"/>
  <c r="X171" i="21" s="1"/>
  <c r="Z158" i="21"/>
  <c r="Y171" i="21" s="1"/>
  <c r="B145" i="21"/>
  <c r="B158" i="21" s="1"/>
  <c r="C158" i="21"/>
  <c r="B171" i="21" s="1"/>
  <c r="D158" i="21"/>
  <c r="C171" i="21" s="1"/>
  <c r="E158" i="21"/>
  <c r="D171" i="21" s="1"/>
  <c r="F158" i="21"/>
  <c r="E171" i="21" s="1"/>
  <c r="G158" i="21"/>
  <c r="F171" i="21" s="1"/>
  <c r="H158" i="21"/>
  <c r="G171" i="21" s="1"/>
  <c r="I158" i="21"/>
  <c r="H171" i="21" s="1"/>
  <c r="J158" i="21"/>
  <c r="I171" i="21" s="1"/>
  <c r="A132" i="21"/>
  <c r="A145" i="21" s="1"/>
  <c r="A158" i="21" s="1"/>
  <c r="A119" i="21"/>
  <c r="B40" i="17"/>
  <c r="J116" i="21"/>
  <c r="K116" i="21" s="1"/>
  <c r="L116" i="21" s="1"/>
  <c r="M116" i="21" s="1"/>
  <c r="N116" i="21" s="1"/>
  <c r="O116" i="21" s="1"/>
  <c r="P116" i="21" s="1"/>
  <c r="Q116" i="21" s="1"/>
  <c r="R116" i="21" s="1"/>
  <c r="S116" i="21" s="1"/>
  <c r="T116" i="21" s="1"/>
  <c r="U116" i="21" s="1"/>
  <c r="V116" i="21" s="1"/>
  <c r="W116" i="21" s="1"/>
  <c r="X116" i="21" s="1"/>
  <c r="Y116" i="21" s="1"/>
  <c r="Z116" i="21" s="1"/>
  <c r="AA116" i="21" s="1"/>
  <c r="I116" i="21"/>
  <c r="H116" i="21"/>
  <c r="G116" i="21"/>
  <c r="F116" i="21"/>
  <c r="E116" i="21"/>
  <c r="D116" i="21"/>
  <c r="C116" i="21"/>
  <c r="A116" i="21"/>
  <c r="A230" i="21" s="1"/>
  <c r="A242" i="21" s="1"/>
  <c r="B242" i="21" s="1"/>
  <c r="J115" i="21"/>
  <c r="I115" i="21"/>
  <c r="H115" i="21"/>
  <c r="G115" i="21"/>
  <c r="F115" i="21"/>
  <c r="E115" i="21"/>
  <c r="D115" i="21"/>
  <c r="C115" i="21"/>
  <c r="J114" i="21"/>
  <c r="I114" i="21"/>
  <c r="H114" i="21"/>
  <c r="G114" i="21"/>
  <c r="F114" i="21"/>
  <c r="E114" i="21"/>
  <c r="D114" i="21"/>
  <c r="C114" i="21"/>
  <c r="J113" i="21"/>
  <c r="K113" i="21" s="1"/>
  <c r="L113" i="21" s="1"/>
  <c r="I113" i="21"/>
  <c r="H113" i="21"/>
  <c r="G113" i="21"/>
  <c r="F113" i="21"/>
  <c r="E113" i="21"/>
  <c r="D113" i="21"/>
  <c r="C113" i="21"/>
  <c r="J112" i="21"/>
  <c r="I112" i="21"/>
  <c r="H112" i="21"/>
  <c r="G112" i="21"/>
  <c r="F112" i="21"/>
  <c r="E112" i="21"/>
  <c r="D112" i="21"/>
  <c r="C112" i="21"/>
  <c r="J111" i="21"/>
  <c r="I111" i="21"/>
  <c r="H111" i="21"/>
  <c r="G111" i="21"/>
  <c r="F111" i="21"/>
  <c r="E111" i="21"/>
  <c r="D111" i="21"/>
  <c r="C111" i="21"/>
  <c r="J110" i="21"/>
  <c r="K110" i="21" s="1"/>
  <c r="I110" i="21"/>
  <c r="H110" i="21"/>
  <c r="G110" i="21"/>
  <c r="F110" i="21"/>
  <c r="B236" i="21" s="1"/>
  <c r="E110" i="21"/>
  <c r="D110" i="21"/>
  <c r="C110" i="21"/>
  <c r="J109" i="21"/>
  <c r="I109" i="21"/>
  <c r="H109" i="21"/>
  <c r="G109" i="21"/>
  <c r="F109" i="21"/>
  <c r="E109" i="21"/>
  <c r="D109" i="21"/>
  <c r="C109" i="21"/>
  <c r="J108" i="21"/>
  <c r="I108" i="21"/>
  <c r="H108" i="21"/>
  <c r="G108" i="21"/>
  <c r="F108" i="21"/>
  <c r="B234" i="21" s="1"/>
  <c r="E108" i="21"/>
  <c r="D108" i="21"/>
  <c r="C108" i="21"/>
  <c r="J107" i="21"/>
  <c r="I107" i="21"/>
  <c r="H107" i="21"/>
  <c r="G107" i="21"/>
  <c r="F107" i="21"/>
  <c r="E107" i="21"/>
  <c r="D107" i="21"/>
  <c r="C107" i="21"/>
  <c r="S249" i="21" l="1"/>
  <c r="V249" i="21"/>
  <c r="F249" i="21"/>
  <c r="Q249" i="21"/>
  <c r="T249" i="21"/>
  <c r="D249" i="21"/>
  <c r="O249" i="21"/>
  <c r="R249" i="21"/>
  <c r="M249" i="21"/>
  <c r="P249" i="21"/>
  <c r="C249" i="21"/>
  <c r="AA249" i="21"/>
  <c r="K249" i="21"/>
  <c r="N249" i="21"/>
  <c r="Y249" i="21"/>
  <c r="I249" i="21"/>
  <c r="L249" i="21"/>
  <c r="W249" i="21"/>
  <c r="G249" i="21"/>
  <c r="Z249" i="21"/>
  <c r="J249" i="21"/>
  <c r="U249" i="21"/>
  <c r="E249" i="21"/>
  <c r="X249" i="21"/>
  <c r="H249" i="21"/>
  <c r="T255" i="21"/>
  <c r="AA255" i="21"/>
  <c r="K255" i="21"/>
  <c r="N255" i="21"/>
  <c r="Y255" i="21"/>
  <c r="I255" i="21"/>
  <c r="X255" i="21"/>
  <c r="L255" i="21"/>
  <c r="W255" i="21"/>
  <c r="G255" i="21"/>
  <c r="J255" i="21"/>
  <c r="U255" i="21"/>
  <c r="E255" i="21"/>
  <c r="P255" i="21"/>
  <c r="H255" i="21"/>
  <c r="S255" i="21"/>
  <c r="V255" i="21"/>
  <c r="F255" i="21"/>
  <c r="Q255" i="21"/>
  <c r="Z255" i="21"/>
  <c r="D255" i="21"/>
  <c r="O255" i="21"/>
  <c r="R255" i="21"/>
  <c r="M255" i="21"/>
  <c r="C255" i="21"/>
  <c r="AA247" i="21"/>
  <c r="K247" i="21"/>
  <c r="N247" i="21"/>
  <c r="Y247" i="21"/>
  <c r="I247" i="21"/>
  <c r="L247" i="21"/>
  <c r="D247" i="21"/>
  <c r="W247" i="21"/>
  <c r="G247" i="21"/>
  <c r="Z247" i="21"/>
  <c r="J247" i="21"/>
  <c r="U247" i="21"/>
  <c r="E247" i="21"/>
  <c r="X247" i="21"/>
  <c r="H247" i="21"/>
  <c r="S247" i="21"/>
  <c r="V247" i="21"/>
  <c r="F247" i="21"/>
  <c r="Q247" i="21"/>
  <c r="T247" i="21"/>
  <c r="C247" i="21"/>
  <c r="O247" i="21"/>
  <c r="R247" i="21"/>
  <c r="M247" i="21"/>
  <c r="P247" i="21"/>
  <c r="D204" i="21"/>
  <c r="B238" i="21"/>
  <c r="B239" i="21"/>
  <c r="K115" i="21"/>
  <c r="K107" i="21"/>
  <c r="K109" i="21"/>
  <c r="I164" i="21"/>
  <c r="J164" i="21" s="1"/>
  <c r="K164" i="21" s="1"/>
  <c r="L164" i="21" s="1"/>
  <c r="M164" i="21" s="1"/>
  <c r="N164" i="21" s="1"/>
  <c r="O164" i="21" s="1"/>
  <c r="P164" i="21" s="1"/>
  <c r="Q164" i="21" s="1"/>
  <c r="R164" i="21" s="1"/>
  <c r="S164" i="21" s="1"/>
  <c r="T164" i="21" s="1"/>
  <c r="U164" i="21" s="1"/>
  <c r="V164" i="21" s="1"/>
  <c r="W164" i="21" s="1"/>
  <c r="X164" i="21" s="1"/>
  <c r="Y164" i="21" s="1"/>
  <c r="Z164" i="21" s="1"/>
  <c r="AA164" i="21" s="1"/>
  <c r="C205" i="21"/>
  <c r="D192" i="21"/>
  <c r="E192" i="21" s="1"/>
  <c r="F192" i="21" s="1"/>
  <c r="G192" i="21" s="1"/>
  <c r="H192" i="21" s="1"/>
  <c r="I192" i="21" s="1"/>
  <c r="J192" i="21" s="1"/>
  <c r="K192" i="21" s="1"/>
  <c r="L192" i="21" s="1"/>
  <c r="M192" i="21" s="1"/>
  <c r="N192" i="21" s="1"/>
  <c r="O192" i="21" s="1"/>
  <c r="P192" i="21" s="1"/>
  <c r="Q192" i="21" s="1"/>
  <c r="R192" i="21" s="1"/>
  <c r="S192" i="21" s="1"/>
  <c r="T192" i="21" s="1"/>
  <c r="U192" i="21" s="1"/>
  <c r="V192" i="21" s="1"/>
  <c r="W192" i="21" s="1"/>
  <c r="X192" i="21" s="1"/>
  <c r="Y192" i="21" s="1"/>
  <c r="Z192" i="21" s="1"/>
  <c r="AA192" i="21" s="1"/>
  <c r="AB192" i="21" s="1"/>
  <c r="AC192" i="21" s="1"/>
  <c r="AD192" i="21" s="1"/>
  <c r="J161" i="21"/>
  <c r="K161" i="21" s="1"/>
  <c r="L161" i="21" s="1"/>
  <c r="M161" i="21" s="1"/>
  <c r="N161" i="21" s="1"/>
  <c r="O161" i="21" s="1"/>
  <c r="P161" i="21" s="1"/>
  <c r="Q161" i="21" s="1"/>
  <c r="R161" i="21" s="1"/>
  <c r="S161" i="21" s="1"/>
  <c r="T161" i="21" s="1"/>
  <c r="U161" i="21" s="1"/>
  <c r="V161" i="21" s="1"/>
  <c r="W161" i="21" s="1"/>
  <c r="X161" i="21" s="1"/>
  <c r="Y161" i="21" s="1"/>
  <c r="Z161" i="21" s="1"/>
  <c r="AA161" i="21" s="1"/>
  <c r="J166" i="21"/>
  <c r="K166" i="21" s="1"/>
  <c r="L166" i="21" s="1"/>
  <c r="M166" i="21" s="1"/>
  <c r="N166" i="21" s="1"/>
  <c r="O166" i="21" s="1"/>
  <c r="P166" i="21" s="1"/>
  <c r="Q166" i="21" s="1"/>
  <c r="R166" i="21" s="1"/>
  <c r="S166" i="21" s="1"/>
  <c r="T166" i="21" s="1"/>
  <c r="U166" i="21" s="1"/>
  <c r="V166" i="21" s="1"/>
  <c r="W166" i="21" s="1"/>
  <c r="X166" i="21" s="1"/>
  <c r="Y166" i="21" s="1"/>
  <c r="Z166" i="21" s="1"/>
  <c r="AA166" i="21" s="1"/>
  <c r="I152" i="21"/>
  <c r="J152" i="21" s="1"/>
  <c r="K152" i="21" s="1"/>
  <c r="L152" i="21" s="1"/>
  <c r="M152" i="21" s="1"/>
  <c r="N152" i="21" s="1"/>
  <c r="O152" i="21" s="1"/>
  <c r="P152" i="21" s="1"/>
  <c r="Q152" i="21" s="1"/>
  <c r="R152" i="21" s="1"/>
  <c r="S152" i="21" s="1"/>
  <c r="T152" i="21" s="1"/>
  <c r="U152" i="21" s="1"/>
  <c r="V152" i="21" s="1"/>
  <c r="W152" i="21" s="1"/>
  <c r="X152" i="21" s="1"/>
  <c r="Y152" i="21" s="1"/>
  <c r="Z152" i="21" s="1"/>
  <c r="AA152" i="21" s="1"/>
  <c r="L159" i="21"/>
  <c r="M159" i="21" s="1"/>
  <c r="N159" i="21" s="1"/>
  <c r="O159" i="21" s="1"/>
  <c r="P159" i="21" s="1"/>
  <c r="Q159" i="21" s="1"/>
  <c r="R159" i="21" s="1"/>
  <c r="S159" i="21" s="1"/>
  <c r="T159" i="21" s="1"/>
  <c r="U159" i="21" s="1"/>
  <c r="V159" i="21" s="1"/>
  <c r="W159" i="21" s="1"/>
  <c r="X159" i="21" s="1"/>
  <c r="Y159" i="21" s="1"/>
  <c r="Z159" i="21" s="1"/>
  <c r="AA159" i="21" s="1"/>
  <c r="M168" i="21"/>
  <c r="N168" i="21" s="1"/>
  <c r="O168" i="21" s="1"/>
  <c r="P168" i="21" s="1"/>
  <c r="Q168" i="21" s="1"/>
  <c r="R168" i="21" s="1"/>
  <c r="S168" i="21" s="1"/>
  <c r="T168" i="21" s="1"/>
  <c r="U168" i="21" s="1"/>
  <c r="V168" i="21" s="1"/>
  <c r="W168" i="21" s="1"/>
  <c r="X168" i="21" s="1"/>
  <c r="Y168" i="21" s="1"/>
  <c r="Z168" i="21" s="1"/>
  <c r="AA168" i="21" s="1"/>
  <c r="J153" i="21"/>
  <c r="K153" i="21" s="1"/>
  <c r="L153" i="21" s="1"/>
  <c r="M153" i="21" s="1"/>
  <c r="N153" i="21" s="1"/>
  <c r="O153" i="21" s="1"/>
  <c r="P153" i="21" s="1"/>
  <c r="Q153" i="21" s="1"/>
  <c r="R153" i="21" s="1"/>
  <c r="S153" i="21" s="1"/>
  <c r="T153" i="21" s="1"/>
  <c r="U153" i="21" s="1"/>
  <c r="V153" i="21" s="1"/>
  <c r="W153" i="21" s="1"/>
  <c r="X153" i="21" s="1"/>
  <c r="Y153" i="21" s="1"/>
  <c r="Z153" i="21" s="1"/>
  <c r="AA153" i="21" s="1"/>
  <c r="K150" i="21"/>
  <c r="L150" i="21" s="1"/>
  <c r="M150" i="21" s="1"/>
  <c r="N150" i="21" s="1"/>
  <c r="O150" i="21" s="1"/>
  <c r="P150" i="21" s="1"/>
  <c r="Q150" i="21" s="1"/>
  <c r="R150" i="21" s="1"/>
  <c r="S150" i="21" s="1"/>
  <c r="T150" i="21" s="1"/>
  <c r="U150" i="21" s="1"/>
  <c r="V150" i="21" s="1"/>
  <c r="W150" i="21" s="1"/>
  <c r="X150" i="21" s="1"/>
  <c r="Y150" i="21" s="1"/>
  <c r="Z150" i="21" s="1"/>
  <c r="AA150" i="21" s="1"/>
  <c r="J148" i="21"/>
  <c r="K148" i="21" s="1"/>
  <c r="L148" i="21" s="1"/>
  <c r="M148" i="21" s="1"/>
  <c r="N148" i="21" s="1"/>
  <c r="O148" i="21" s="1"/>
  <c r="P148" i="21" s="1"/>
  <c r="Q148" i="21" s="1"/>
  <c r="R148" i="21" s="1"/>
  <c r="S148" i="21" s="1"/>
  <c r="T148" i="21" s="1"/>
  <c r="U148" i="21" s="1"/>
  <c r="V148" i="21" s="1"/>
  <c r="W148" i="21" s="1"/>
  <c r="X148" i="21" s="1"/>
  <c r="Y148" i="21" s="1"/>
  <c r="Z148" i="21" s="1"/>
  <c r="AA148" i="21" s="1"/>
  <c r="L110" i="21"/>
  <c r="L109" i="21"/>
  <c r="M113" i="21"/>
  <c r="K114" i="21"/>
  <c r="K108" i="21"/>
  <c r="K112" i="21"/>
  <c r="K111" i="21"/>
  <c r="J154" i="21"/>
  <c r="K154" i="21" s="1"/>
  <c r="L154" i="21" s="1"/>
  <c r="M154" i="21" s="1"/>
  <c r="N154" i="21" s="1"/>
  <c r="O154" i="21" s="1"/>
  <c r="P154" i="21" s="1"/>
  <c r="Q154" i="21" s="1"/>
  <c r="R154" i="21" s="1"/>
  <c r="S154" i="21" s="1"/>
  <c r="T154" i="21" s="1"/>
  <c r="U154" i="21" s="1"/>
  <c r="V154" i="21" s="1"/>
  <c r="W154" i="21" s="1"/>
  <c r="X154" i="21" s="1"/>
  <c r="Y154" i="21" s="1"/>
  <c r="Z154" i="21" s="1"/>
  <c r="AA154" i="21" s="1"/>
  <c r="B167" i="21"/>
  <c r="J167" i="21" s="1"/>
  <c r="K167" i="21" s="1"/>
  <c r="L167" i="21" s="1"/>
  <c r="M167" i="21" s="1"/>
  <c r="N167" i="21" s="1"/>
  <c r="O167" i="21" s="1"/>
  <c r="P167" i="21" s="1"/>
  <c r="Q167" i="21" s="1"/>
  <c r="R167" i="21" s="1"/>
  <c r="S167" i="21" s="1"/>
  <c r="T167" i="21" s="1"/>
  <c r="U167" i="21" s="1"/>
  <c r="V167" i="21" s="1"/>
  <c r="W167" i="21" s="1"/>
  <c r="X167" i="21" s="1"/>
  <c r="Y167" i="21" s="1"/>
  <c r="Z167" i="21" s="1"/>
  <c r="AA167" i="21" s="1"/>
  <c r="B149" i="21"/>
  <c r="B162" i="21" s="1"/>
  <c r="H162" i="21" s="1"/>
  <c r="I162" i="21" s="1"/>
  <c r="J162" i="21" s="1"/>
  <c r="K162" i="21" s="1"/>
  <c r="L162" i="21" s="1"/>
  <c r="M162" i="21" s="1"/>
  <c r="N162" i="21" s="1"/>
  <c r="O162" i="21" s="1"/>
  <c r="P162" i="21" s="1"/>
  <c r="Q162" i="21" s="1"/>
  <c r="R162" i="21" s="1"/>
  <c r="S162" i="21" s="1"/>
  <c r="T162" i="21" s="1"/>
  <c r="U162" i="21" s="1"/>
  <c r="V162" i="21" s="1"/>
  <c r="W162" i="21" s="1"/>
  <c r="X162" i="21" s="1"/>
  <c r="Y162" i="21" s="1"/>
  <c r="Z162" i="21" s="1"/>
  <c r="AA162" i="21" s="1"/>
  <c r="I151" i="21"/>
  <c r="J151" i="21" s="1"/>
  <c r="K151" i="21" s="1"/>
  <c r="L151" i="21" s="1"/>
  <c r="M151" i="21" s="1"/>
  <c r="N151" i="21" s="1"/>
  <c r="O151" i="21" s="1"/>
  <c r="P151" i="21" s="1"/>
  <c r="Q151" i="21" s="1"/>
  <c r="R151" i="21" s="1"/>
  <c r="S151" i="21" s="1"/>
  <c r="T151" i="21" s="1"/>
  <c r="U151" i="21" s="1"/>
  <c r="V151" i="21" s="1"/>
  <c r="W151" i="21" s="1"/>
  <c r="X151" i="21" s="1"/>
  <c r="Y151" i="21" s="1"/>
  <c r="Z151" i="21" s="1"/>
  <c r="AA151" i="21" s="1"/>
  <c r="M155" i="21"/>
  <c r="N155" i="21" s="1"/>
  <c r="O155" i="21" s="1"/>
  <c r="P155" i="21" s="1"/>
  <c r="Q155" i="21" s="1"/>
  <c r="R155" i="21" s="1"/>
  <c r="S155" i="21" s="1"/>
  <c r="T155" i="21" s="1"/>
  <c r="U155" i="21" s="1"/>
  <c r="V155" i="21" s="1"/>
  <c r="W155" i="21" s="1"/>
  <c r="X155" i="21" s="1"/>
  <c r="Y155" i="21" s="1"/>
  <c r="Z155" i="21" s="1"/>
  <c r="AA155" i="21" s="1"/>
  <c r="B147" i="21"/>
  <c r="I138" i="21"/>
  <c r="J141" i="21"/>
  <c r="L146" i="21"/>
  <c r="M146" i="21" s="1"/>
  <c r="N146" i="21" s="1"/>
  <c r="O146" i="21" s="1"/>
  <c r="P146" i="21" s="1"/>
  <c r="Q146" i="21" s="1"/>
  <c r="R146" i="21" s="1"/>
  <c r="S146" i="21" s="1"/>
  <c r="T146" i="21" s="1"/>
  <c r="U146" i="21" s="1"/>
  <c r="V146" i="21" s="1"/>
  <c r="W146" i="21" s="1"/>
  <c r="X146" i="21" s="1"/>
  <c r="Y146" i="21" s="1"/>
  <c r="Z146" i="21" s="1"/>
  <c r="AA146" i="21" s="1"/>
  <c r="B165" i="21"/>
  <c r="I165" i="21" s="1"/>
  <c r="J165" i="21" s="1"/>
  <c r="K165" i="21" s="1"/>
  <c r="L165" i="21" s="1"/>
  <c r="M165" i="21" s="1"/>
  <c r="N165" i="21" s="1"/>
  <c r="O165" i="21" s="1"/>
  <c r="P165" i="21" s="1"/>
  <c r="Q165" i="21" s="1"/>
  <c r="R165" i="21" s="1"/>
  <c r="S165" i="21" s="1"/>
  <c r="T165" i="21" s="1"/>
  <c r="U165" i="21" s="1"/>
  <c r="V165" i="21" s="1"/>
  <c r="W165" i="21" s="1"/>
  <c r="X165" i="21" s="1"/>
  <c r="Y165" i="21" s="1"/>
  <c r="Z165" i="21" s="1"/>
  <c r="AA165" i="21" s="1"/>
  <c r="L115" i="21"/>
  <c r="C51" i="21"/>
  <c r="B25" i="21"/>
  <c r="C25" i="21"/>
  <c r="C12" i="21"/>
  <c r="A82" i="21"/>
  <c r="A83" i="21"/>
  <c r="A84" i="21"/>
  <c r="A85" i="21"/>
  <c r="A86" i="21"/>
  <c r="A87" i="21"/>
  <c r="A88" i="21"/>
  <c r="A89" i="21"/>
  <c r="A90" i="21"/>
  <c r="A81" i="21"/>
  <c r="A12" i="21"/>
  <c r="S252" i="21" l="1"/>
  <c r="V252" i="21"/>
  <c r="F252" i="21"/>
  <c r="Q252" i="21"/>
  <c r="T252" i="21"/>
  <c r="D252" i="21"/>
  <c r="O252" i="21"/>
  <c r="R252" i="21"/>
  <c r="M252" i="21"/>
  <c r="P252" i="21"/>
  <c r="AA252" i="21"/>
  <c r="K252" i="21"/>
  <c r="N252" i="21"/>
  <c r="Y252" i="21"/>
  <c r="I252" i="21"/>
  <c r="L252" i="21"/>
  <c r="C252" i="21"/>
  <c r="W252" i="21"/>
  <c r="G252" i="21"/>
  <c r="Z252" i="21"/>
  <c r="J252" i="21"/>
  <c r="U252" i="21"/>
  <c r="E252" i="21"/>
  <c r="X252" i="21"/>
  <c r="H252" i="21"/>
  <c r="AA251" i="21"/>
  <c r="K251" i="21"/>
  <c r="N251" i="21"/>
  <c r="Y251" i="21"/>
  <c r="I251" i="21"/>
  <c r="L251" i="21"/>
  <c r="W251" i="21"/>
  <c r="G251" i="21"/>
  <c r="Z251" i="21"/>
  <c r="J251" i="21"/>
  <c r="U251" i="21"/>
  <c r="E251" i="21"/>
  <c r="X251" i="21"/>
  <c r="H251" i="21"/>
  <c r="S251" i="21"/>
  <c r="V251" i="21"/>
  <c r="F251" i="21"/>
  <c r="Q251" i="21"/>
  <c r="T251" i="21"/>
  <c r="D251" i="21"/>
  <c r="O251" i="21"/>
  <c r="R251" i="21"/>
  <c r="C251" i="21"/>
  <c r="M251" i="21"/>
  <c r="P251" i="21"/>
  <c r="D205" i="21"/>
  <c r="E205" i="21" s="1"/>
  <c r="F205" i="21" s="1"/>
  <c r="G205" i="21" s="1"/>
  <c r="H205" i="21" s="1"/>
  <c r="I205" i="21" s="1"/>
  <c r="J205" i="21" s="1"/>
  <c r="K205" i="21" s="1"/>
  <c r="L205" i="21" s="1"/>
  <c r="M205" i="21" s="1"/>
  <c r="N205" i="21" s="1"/>
  <c r="O205" i="21" s="1"/>
  <c r="P205" i="21" s="1"/>
  <c r="Q205" i="21" s="1"/>
  <c r="R205" i="21" s="1"/>
  <c r="S205" i="21" s="1"/>
  <c r="T205" i="21" s="1"/>
  <c r="U205" i="21" s="1"/>
  <c r="V205" i="21" s="1"/>
  <c r="W205" i="21" s="1"/>
  <c r="X205" i="21" s="1"/>
  <c r="Y205" i="21" s="1"/>
  <c r="Z205" i="21" s="1"/>
  <c r="E204" i="21"/>
  <c r="D12" i="21"/>
  <c r="C207" i="21"/>
  <c r="K141" i="21"/>
  <c r="J138" i="21"/>
  <c r="G102" i="21"/>
  <c r="R102" i="21"/>
  <c r="I102" i="21"/>
  <c r="N102" i="21"/>
  <c r="S102" i="21"/>
  <c r="Y102" i="21"/>
  <c r="E102" i="21"/>
  <c r="J102" i="21"/>
  <c r="O102" i="21"/>
  <c r="U102" i="21"/>
  <c r="Z102" i="21"/>
  <c r="M102" i="21"/>
  <c r="W102" i="21"/>
  <c r="H149" i="21"/>
  <c r="F102" i="21"/>
  <c r="AA102" i="21"/>
  <c r="T102" i="21"/>
  <c r="D102" i="21"/>
  <c r="L114" i="21"/>
  <c r="M109" i="21"/>
  <c r="B235" i="21" s="1"/>
  <c r="M110" i="21"/>
  <c r="K102" i="21"/>
  <c r="L112" i="21"/>
  <c r="P102" i="21"/>
  <c r="B160" i="21"/>
  <c r="L160" i="21" s="1"/>
  <c r="M160" i="21" s="1"/>
  <c r="N160" i="21" s="1"/>
  <c r="O160" i="21" s="1"/>
  <c r="P160" i="21" s="1"/>
  <c r="Q160" i="21" s="1"/>
  <c r="R160" i="21" s="1"/>
  <c r="S160" i="21" s="1"/>
  <c r="T160" i="21" s="1"/>
  <c r="U160" i="21" s="1"/>
  <c r="V160" i="21" s="1"/>
  <c r="W160" i="21" s="1"/>
  <c r="X160" i="21" s="1"/>
  <c r="Y160" i="21" s="1"/>
  <c r="Z160" i="21" s="1"/>
  <c r="AA160" i="21" s="1"/>
  <c r="L147" i="21"/>
  <c r="Q102" i="21"/>
  <c r="C102" i="21"/>
  <c r="L102" i="21"/>
  <c r="N113" i="21"/>
  <c r="L107" i="21"/>
  <c r="L111" i="21"/>
  <c r="V102" i="21"/>
  <c r="X102" i="21"/>
  <c r="H102" i="21"/>
  <c r="L108" i="21"/>
  <c r="M115" i="21"/>
  <c r="B241" i="21" s="1"/>
  <c r="A41" i="21"/>
  <c r="A54" i="21" s="1"/>
  <c r="B80" i="21" s="1"/>
  <c r="A25" i="21"/>
  <c r="D25" i="21" s="1"/>
  <c r="A4" i="21"/>
  <c r="A5" i="21"/>
  <c r="A6" i="21"/>
  <c r="A7" i="21"/>
  <c r="A8" i="21"/>
  <c r="A9" i="21"/>
  <c r="A10" i="21"/>
  <c r="A11" i="21"/>
  <c r="A3" i="21"/>
  <c r="D11" i="16"/>
  <c r="C11" i="16"/>
  <c r="D3" i="16"/>
  <c r="D4" i="16"/>
  <c r="D5" i="16"/>
  <c r="D6" i="16"/>
  <c r="D7" i="16"/>
  <c r="D8" i="16"/>
  <c r="D9" i="16"/>
  <c r="D10" i="16"/>
  <c r="D2" i="16"/>
  <c r="Z248" i="21" l="1"/>
  <c r="S248" i="21"/>
  <c r="H248" i="21"/>
  <c r="E248" i="21"/>
  <c r="L248" i="21"/>
  <c r="M248" i="21"/>
  <c r="N248" i="21"/>
  <c r="W248" i="21"/>
  <c r="Q248" i="21"/>
  <c r="R248" i="21"/>
  <c r="K248" i="21"/>
  <c r="AA248" i="21"/>
  <c r="Y248" i="21"/>
  <c r="F248" i="21"/>
  <c r="V248" i="21"/>
  <c r="O248" i="21"/>
  <c r="D248" i="21"/>
  <c r="T248" i="21"/>
  <c r="U248" i="21"/>
  <c r="I248" i="21"/>
  <c r="J248" i="21"/>
  <c r="X248" i="21"/>
  <c r="G248" i="21"/>
  <c r="P248" i="21"/>
  <c r="C248" i="21"/>
  <c r="P254" i="21"/>
  <c r="AA254" i="21"/>
  <c r="U254" i="21"/>
  <c r="L254" i="21"/>
  <c r="W254" i="21"/>
  <c r="G254" i="21"/>
  <c r="Z254" i="21"/>
  <c r="X254" i="21"/>
  <c r="H254" i="21"/>
  <c r="C254" i="21"/>
  <c r="S254" i="21"/>
  <c r="R254" i="21"/>
  <c r="T254" i="21"/>
  <c r="D254" i="21"/>
  <c r="O254" i="21"/>
  <c r="N254" i="21"/>
  <c r="Y254" i="21"/>
  <c r="I254" i="21"/>
  <c r="K254" i="21"/>
  <c r="F254" i="21"/>
  <c r="E254" i="21"/>
  <c r="V254" i="21"/>
  <c r="J254" i="21"/>
  <c r="M254" i="21"/>
  <c r="Q254" i="21"/>
  <c r="F204" i="21"/>
  <c r="G185" i="21"/>
  <c r="X25" i="21"/>
  <c r="Y25" i="21"/>
  <c r="AB25" i="21"/>
  <c r="I25" i="21"/>
  <c r="G25" i="21"/>
  <c r="D207" i="21"/>
  <c r="Z25" i="21"/>
  <c r="P25" i="21"/>
  <c r="O25" i="21"/>
  <c r="N25" i="21"/>
  <c r="R25" i="21"/>
  <c r="AA25" i="21"/>
  <c r="F25" i="21"/>
  <c r="Q25" i="21"/>
  <c r="C9" i="21"/>
  <c r="D9" i="21" s="1"/>
  <c r="C11" i="21"/>
  <c r="D11" i="21" s="1"/>
  <c r="C7" i="21"/>
  <c r="D7" i="21" s="1"/>
  <c r="J25" i="21"/>
  <c r="H25" i="21"/>
  <c r="L25" i="21"/>
  <c r="V25" i="21"/>
  <c r="AC25" i="21"/>
  <c r="M25" i="21"/>
  <c r="T25" i="21"/>
  <c r="S25" i="21"/>
  <c r="W25" i="21"/>
  <c r="E25" i="21"/>
  <c r="K25" i="21"/>
  <c r="U25" i="21"/>
  <c r="H12" i="21"/>
  <c r="S12" i="21"/>
  <c r="V12" i="21"/>
  <c r="L12" i="21"/>
  <c r="Z12" i="21"/>
  <c r="U12" i="21"/>
  <c r="I12" i="21"/>
  <c r="M12" i="21"/>
  <c r="Q12" i="21"/>
  <c r="X12" i="21"/>
  <c r="O12" i="21"/>
  <c r="J12" i="21"/>
  <c r="AC12" i="21"/>
  <c r="G12" i="21"/>
  <c r="K12" i="21"/>
  <c r="T12" i="21"/>
  <c r="Y12" i="21"/>
  <c r="E12" i="21"/>
  <c r="R12" i="21"/>
  <c r="AA12" i="21"/>
  <c r="F12" i="21"/>
  <c r="P12" i="21"/>
  <c r="N12" i="21"/>
  <c r="W12" i="21"/>
  <c r="AB12" i="21"/>
  <c r="I149" i="21"/>
  <c r="M147" i="21"/>
  <c r="L141" i="21"/>
  <c r="K138" i="21"/>
  <c r="M108" i="21"/>
  <c r="M111" i="21"/>
  <c r="B237" i="21" s="1"/>
  <c r="M112" i="21"/>
  <c r="N109" i="21"/>
  <c r="M107" i="21"/>
  <c r="B233" i="21" s="1"/>
  <c r="N110" i="21"/>
  <c r="M114" i="21"/>
  <c r="B240" i="21" s="1"/>
  <c r="O113" i="21"/>
  <c r="N115" i="21"/>
  <c r="C3" i="21"/>
  <c r="D3" i="21" s="1"/>
  <c r="A38" i="21"/>
  <c r="A51" i="21" s="1"/>
  <c r="D51" i="21" s="1"/>
  <c r="A20" i="21"/>
  <c r="A24" i="21"/>
  <c r="A18" i="21"/>
  <c r="A22" i="21"/>
  <c r="C6" i="21"/>
  <c r="D6" i="21" s="1"/>
  <c r="A16" i="21"/>
  <c r="A21" i="21"/>
  <c r="C8" i="21"/>
  <c r="D8" i="21" s="1"/>
  <c r="A17" i="21"/>
  <c r="C4" i="21"/>
  <c r="D4" i="21" s="1"/>
  <c r="C10" i="21"/>
  <c r="D10" i="21" s="1"/>
  <c r="C5" i="21"/>
  <c r="D5" i="21" s="1"/>
  <c r="A19" i="21"/>
  <c r="A23" i="21"/>
  <c r="B156" i="10"/>
  <c r="B155" i="10"/>
  <c r="A4" i="10"/>
  <c r="C4" i="10" s="1"/>
  <c r="A5" i="10"/>
  <c r="D5" i="10" s="1"/>
  <c r="A6" i="10"/>
  <c r="D6" i="10" s="1"/>
  <c r="A3" i="10"/>
  <c r="C3" i="10" s="1"/>
  <c r="I25" i="6"/>
  <c r="H25" i="6"/>
  <c r="G25" i="6"/>
  <c r="F25" i="6"/>
  <c r="E25" i="6"/>
  <c r="D25" i="6"/>
  <c r="C25" i="6"/>
  <c r="B25" i="6"/>
  <c r="I24" i="6"/>
  <c r="H24" i="6"/>
  <c r="G24" i="6"/>
  <c r="F24" i="6"/>
  <c r="E24" i="6"/>
  <c r="D24" i="6"/>
  <c r="C24" i="6"/>
  <c r="B24" i="6"/>
  <c r="I23" i="6"/>
  <c r="H23" i="6"/>
  <c r="G23" i="6"/>
  <c r="F23" i="6"/>
  <c r="E23" i="6"/>
  <c r="D23" i="6"/>
  <c r="C23" i="6"/>
  <c r="B23" i="6"/>
  <c r="I22" i="6"/>
  <c r="H22" i="6"/>
  <c r="G22" i="6"/>
  <c r="F22" i="6"/>
  <c r="E22" i="6"/>
  <c r="D22" i="6"/>
  <c r="C22" i="6"/>
  <c r="B22" i="6"/>
  <c r="I21" i="6"/>
  <c r="H21" i="6"/>
  <c r="G21" i="6"/>
  <c r="F21" i="6"/>
  <c r="E21" i="6"/>
  <c r="D21" i="6"/>
  <c r="C21" i="6"/>
  <c r="B21" i="6"/>
  <c r="I20" i="6"/>
  <c r="H20" i="6"/>
  <c r="G20" i="6"/>
  <c r="F20" i="6"/>
  <c r="E20" i="6"/>
  <c r="D20" i="6"/>
  <c r="C20" i="6"/>
  <c r="B20" i="6"/>
  <c r="I19" i="6"/>
  <c r="H19" i="6"/>
  <c r="G19" i="6"/>
  <c r="F19" i="6"/>
  <c r="E19" i="6"/>
  <c r="D19" i="6"/>
  <c r="C19" i="6"/>
  <c r="B19" i="6"/>
  <c r="I18" i="6"/>
  <c r="H18" i="6"/>
  <c r="G18" i="6"/>
  <c r="F18" i="6"/>
  <c r="E18" i="6"/>
  <c r="D18" i="6"/>
  <c r="C18" i="6"/>
  <c r="B18" i="6"/>
  <c r="I17" i="6"/>
  <c r="H17" i="6"/>
  <c r="G17" i="6"/>
  <c r="F17" i="6"/>
  <c r="E17" i="6"/>
  <c r="D17" i="6"/>
  <c r="C17" i="6"/>
  <c r="B17" i="6"/>
  <c r="I12" i="6"/>
  <c r="H12" i="6"/>
  <c r="G12" i="6"/>
  <c r="F12" i="6"/>
  <c r="E12" i="6"/>
  <c r="D12" i="6"/>
  <c r="C12" i="6"/>
  <c r="B12" i="6"/>
  <c r="I11" i="6"/>
  <c r="H11" i="6"/>
  <c r="G11" i="6"/>
  <c r="F11" i="6"/>
  <c r="E11" i="6"/>
  <c r="D11" i="6"/>
  <c r="C11" i="6"/>
  <c r="B11" i="6"/>
  <c r="I10" i="6"/>
  <c r="H10" i="6"/>
  <c r="G10" i="6"/>
  <c r="F10" i="6"/>
  <c r="E10" i="6"/>
  <c r="D10" i="6"/>
  <c r="C10" i="6"/>
  <c r="B10" i="6"/>
  <c r="I9" i="6"/>
  <c r="H9" i="6"/>
  <c r="G9" i="6"/>
  <c r="F9" i="6"/>
  <c r="E9" i="6"/>
  <c r="D9" i="6"/>
  <c r="C9" i="6"/>
  <c r="B9" i="6"/>
  <c r="I8" i="6"/>
  <c r="H8" i="6"/>
  <c r="G8" i="6"/>
  <c r="F8" i="6"/>
  <c r="E8" i="6"/>
  <c r="D8" i="6"/>
  <c r="C8" i="6"/>
  <c r="B8" i="6"/>
  <c r="I7" i="6"/>
  <c r="H7" i="6"/>
  <c r="G7" i="6"/>
  <c r="F7" i="6"/>
  <c r="E7" i="6"/>
  <c r="D7" i="6"/>
  <c r="C7" i="6"/>
  <c r="B7" i="6"/>
  <c r="I6" i="6"/>
  <c r="H6" i="6"/>
  <c r="G6" i="6"/>
  <c r="F6" i="6"/>
  <c r="E6" i="6"/>
  <c r="D6" i="6"/>
  <c r="C6" i="6"/>
  <c r="B6" i="6"/>
  <c r="I5" i="6"/>
  <c r="H5" i="6"/>
  <c r="G5" i="6"/>
  <c r="F5" i="6"/>
  <c r="E5" i="6"/>
  <c r="D5" i="6"/>
  <c r="C5" i="6"/>
  <c r="B5" i="6"/>
  <c r="I4" i="6"/>
  <c r="H4" i="6"/>
  <c r="G4" i="6"/>
  <c r="F4" i="6"/>
  <c r="E4" i="6"/>
  <c r="D4" i="6"/>
  <c r="C4" i="6"/>
  <c r="B4" i="6"/>
  <c r="R253" i="21" l="1"/>
  <c r="C253" i="21"/>
  <c r="K253" i="21"/>
  <c r="S253" i="21"/>
  <c r="M253" i="21"/>
  <c r="Z253" i="21"/>
  <c r="F253" i="21"/>
  <c r="N253" i="21"/>
  <c r="AA253" i="21"/>
  <c r="G253" i="21"/>
  <c r="V253" i="21"/>
  <c r="I253" i="21"/>
  <c r="W253" i="21"/>
  <c r="Q253" i="21"/>
  <c r="D253" i="21"/>
  <c r="T253" i="21"/>
  <c r="O253" i="21"/>
  <c r="X253" i="21"/>
  <c r="H253" i="21"/>
  <c r="J253" i="21"/>
  <c r="E253" i="21"/>
  <c r="L253" i="21"/>
  <c r="Y253" i="21"/>
  <c r="P253" i="21"/>
  <c r="U253" i="21"/>
  <c r="Y250" i="21"/>
  <c r="AA250" i="21"/>
  <c r="P250" i="21"/>
  <c r="O250" i="21"/>
  <c r="I250" i="21"/>
  <c r="F250" i="21"/>
  <c r="V250" i="21"/>
  <c r="Q250" i="21"/>
  <c r="J250" i="21"/>
  <c r="Z250" i="21"/>
  <c r="C250" i="21"/>
  <c r="U250" i="21"/>
  <c r="N250" i="21"/>
  <c r="G250" i="21"/>
  <c r="W250" i="21"/>
  <c r="L250" i="21"/>
  <c r="E250" i="21"/>
  <c r="R250" i="21"/>
  <c r="K250" i="21"/>
  <c r="X250" i="21"/>
  <c r="M250" i="21"/>
  <c r="S250" i="21"/>
  <c r="D250" i="21"/>
  <c r="H250" i="21"/>
  <c r="T250" i="21"/>
  <c r="Q246" i="21"/>
  <c r="R246" i="21"/>
  <c r="K246" i="21"/>
  <c r="F246" i="21"/>
  <c r="V246" i="21"/>
  <c r="O246" i="21"/>
  <c r="T246" i="21"/>
  <c r="C246" i="21"/>
  <c r="U246" i="21"/>
  <c r="J246" i="21"/>
  <c r="Z246" i="21"/>
  <c r="S246" i="21"/>
  <c r="Y246" i="21"/>
  <c r="E246" i="21"/>
  <c r="N246" i="21"/>
  <c r="G246" i="21"/>
  <c r="W246" i="21"/>
  <c r="L246" i="21"/>
  <c r="I246" i="21"/>
  <c r="AA246" i="21"/>
  <c r="P246" i="21"/>
  <c r="D246" i="21"/>
  <c r="X246" i="21"/>
  <c r="M246" i="21"/>
  <c r="H246" i="21"/>
  <c r="G204" i="21"/>
  <c r="E207" i="21"/>
  <c r="H185" i="21"/>
  <c r="C20" i="21"/>
  <c r="D20" i="21" s="1"/>
  <c r="L138" i="21"/>
  <c r="N147" i="21"/>
  <c r="M141" i="21"/>
  <c r="J149" i="21"/>
  <c r="P113" i="21"/>
  <c r="N114" i="21"/>
  <c r="N112" i="21"/>
  <c r="O110" i="21"/>
  <c r="O109" i="21"/>
  <c r="N107" i="21"/>
  <c r="N111" i="21"/>
  <c r="N108" i="21"/>
  <c r="O115" i="21"/>
  <c r="A64" i="21"/>
  <c r="B90" i="21" s="1"/>
  <c r="A30" i="21"/>
  <c r="A43" i="21" s="1"/>
  <c r="D43" i="21" s="1"/>
  <c r="C24" i="21"/>
  <c r="D24" i="21" s="1"/>
  <c r="A37" i="21"/>
  <c r="A50" i="21" s="1"/>
  <c r="D50" i="21" s="1"/>
  <c r="C16" i="21"/>
  <c r="D16" i="21" s="1"/>
  <c r="A29" i="21"/>
  <c r="A42" i="21" s="1"/>
  <c r="D42" i="21" s="1"/>
  <c r="A36" i="21"/>
  <c r="A49" i="21" s="1"/>
  <c r="D49" i="21" s="1"/>
  <c r="A32" i="21"/>
  <c r="A45" i="21" s="1"/>
  <c r="D45" i="21" s="1"/>
  <c r="C22" i="21"/>
  <c r="D22" i="21" s="1"/>
  <c r="A35" i="21"/>
  <c r="A48" i="21" s="1"/>
  <c r="D48" i="21" s="1"/>
  <c r="C18" i="21"/>
  <c r="D18" i="21" s="1"/>
  <c r="A31" i="21"/>
  <c r="A44" i="21" s="1"/>
  <c r="D44" i="21" s="1"/>
  <c r="A34" i="21"/>
  <c r="A47" i="21" s="1"/>
  <c r="D47" i="21" s="1"/>
  <c r="B38" i="21"/>
  <c r="A33" i="21"/>
  <c r="A46" i="21" s="1"/>
  <c r="D46" i="21" s="1"/>
  <c r="C17" i="21"/>
  <c r="D17" i="21" s="1"/>
  <c r="C21" i="21"/>
  <c r="D21" i="21" s="1"/>
  <c r="C23" i="21"/>
  <c r="D23" i="21" s="1"/>
  <c r="C19" i="21"/>
  <c r="D19" i="21" s="1"/>
  <c r="F4" i="10"/>
  <c r="B157" i="10"/>
  <c r="C5" i="10"/>
  <c r="G6" i="10"/>
  <c r="F6" i="10"/>
  <c r="F5" i="10"/>
  <c r="C6" i="10"/>
  <c r="F3" i="10"/>
  <c r="B3" i="10"/>
  <c r="B6" i="10"/>
  <c r="E6" i="10"/>
  <c r="E5" i="10"/>
  <c r="E4" i="10"/>
  <c r="E3" i="10"/>
  <c r="B5" i="10"/>
  <c r="D4" i="10"/>
  <c r="D3" i="10"/>
  <c r="B4" i="10"/>
  <c r="A32" i="6"/>
  <c r="A33" i="6"/>
  <c r="A34" i="6"/>
  <c r="A35" i="6"/>
  <c r="A36" i="6"/>
  <c r="A37" i="6"/>
  <c r="A38" i="6"/>
  <c r="A39" i="6"/>
  <c r="A31" i="6"/>
  <c r="H204" i="21" l="1"/>
  <c r="F207" i="21"/>
  <c r="I185" i="21"/>
  <c r="G90" i="21"/>
  <c r="K90" i="21"/>
  <c r="O90" i="21"/>
  <c r="S90" i="21"/>
  <c r="W90" i="21"/>
  <c r="AA90" i="21"/>
  <c r="H90" i="21"/>
  <c r="P90" i="21"/>
  <c r="X90" i="21"/>
  <c r="D90" i="21"/>
  <c r="L90" i="21"/>
  <c r="T90" i="21"/>
  <c r="C90" i="21"/>
  <c r="E90" i="21"/>
  <c r="I90" i="21"/>
  <c r="M90" i="21"/>
  <c r="Q90" i="21"/>
  <c r="U90" i="21"/>
  <c r="Y90" i="21"/>
  <c r="F90" i="21"/>
  <c r="J90" i="21"/>
  <c r="N90" i="21"/>
  <c r="R90" i="21"/>
  <c r="V90" i="21"/>
  <c r="Z90" i="21"/>
  <c r="A181" i="21"/>
  <c r="K149" i="21"/>
  <c r="O147" i="21"/>
  <c r="N141" i="21"/>
  <c r="M138" i="21"/>
  <c r="O108" i="21"/>
  <c r="O107" i="21"/>
  <c r="P109" i="21"/>
  <c r="P110" i="21"/>
  <c r="B77" i="21"/>
  <c r="A129" i="21" s="1"/>
  <c r="O111" i="21"/>
  <c r="O112" i="21"/>
  <c r="O114" i="21"/>
  <c r="Q113" i="21"/>
  <c r="P115" i="21"/>
  <c r="A55" i="21"/>
  <c r="B81" i="21" s="1"/>
  <c r="C42" i="21"/>
  <c r="F93" i="21" s="1"/>
  <c r="A60" i="21"/>
  <c r="C47" i="21"/>
  <c r="K98" i="21" s="1"/>
  <c r="C45" i="21"/>
  <c r="E96" i="21" s="1"/>
  <c r="A58" i="21"/>
  <c r="C50" i="21"/>
  <c r="O101" i="21" s="1"/>
  <c r="A63" i="21"/>
  <c r="C46" i="21"/>
  <c r="A59" i="21"/>
  <c r="A57" i="21"/>
  <c r="C44" i="21"/>
  <c r="N95" i="21" s="1"/>
  <c r="A61" i="21"/>
  <c r="B87" i="21" s="1"/>
  <c r="C48" i="21"/>
  <c r="O99" i="21" s="1"/>
  <c r="A56" i="21"/>
  <c r="C43" i="21"/>
  <c r="N94" i="21" s="1"/>
  <c r="C49" i="21"/>
  <c r="C100" i="21" s="1"/>
  <c r="A62" i="21"/>
  <c r="G38" i="21"/>
  <c r="P38" i="21"/>
  <c r="Z38" i="21"/>
  <c r="Y38" i="21"/>
  <c r="V38" i="21"/>
  <c r="C38" i="21"/>
  <c r="O38" i="21"/>
  <c r="W38" i="21"/>
  <c r="N38" i="21"/>
  <c r="T38" i="21"/>
  <c r="R38" i="21"/>
  <c r="Q38" i="21"/>
  <c r="K38" i="21"/>
  <c r="U38" i="21"/>
  <c r="X38" i="21"/>
  <c r="M38" i="21"/>
  <c r="J38" i="21"/>
  <c r="L38" i="21"/>
  <c r="S38" i="21"/>
  <c r="H38" i="21"/>
  <c r="I38" i="21"/>
  <c r="E38" i="21"/>
  <c r="D38" i="21"/>
  <c r="F38" i="21"/>
  <c r="F7" i="8"/>
  <c r="M26" i="6"/>
  <c r="N26" i="6"/>
  <c r="O26" i="6"/>
  <c r="P26" i="6"/>
  <c r="Q26" i="6"/>
  <c r="R26" i="6"/>
  <c r="S26" i="6"/>
  <c r="T26" i="6"/>
  <c r="U26" i="6"/>
  <c r="V26" i="6"/>
  <c r="W26" i="6"/>
  <c r="X26" i="6"/>
  <c r="Y26" i="6"/>
  <c r="Z26" i="6"/>
  <c r="I204" i="21" l="1"/>
  <c r="J101" i="21"/>
  <c r="E101" i="21"/>
  <c r="G207" i="21"/>
  <c r="J185" i="21"/>
  <c r="K95" i="21"/>
  <c r="B69" i="21"/>
  <c r="A121" i="21" s="1"/>
  <c r="B82" i="21"/>
  <c r="B70" i="21"/>
  <c r="A122" i="21" s="1"/>
  <c r="B83" i="21"/>
  <c r="B73" i="21"/>
  <c r="A125" i="21" s="1"/>
  <c r="B86" i="21"/>
  <c r="I94" i="21"/>
  <c r="F95" i="21"/>
  <c r="L94" i="21"/>
  <c r="H101" i="21"/>
  <c r="F101" i="21"/>
  <c r="H98" i="21"/>
  <c r="C98" i="21"/>
  <c r="M96" i="21"/>
  <c r="J95" i="21"/>
  <c r="B75" i="21"/>
  <c r="A127" i="21" s="1"/>
  <c r="B88" i="21"/>
  <c r="B72" i="21"/>
  <c r="A124" i="21" s="1"/>
  <c r="B85" i="21"/>
  <c r="B71" i="21"/>
  <c r="A123" i="21" s="1"/>
  <c r="B84" i="21"/>
  <c r="I98" i="21"/>
  <c r="K94" i="21"/>
  <c r="L100" i="21"/>
  <c r="K101" i="21"/>
  <c r="M101" i="21"/>
  <c r="F98" i="21"/>
  <c r="O95" i="21"/>
  <c r="K96" i="21"/>
  <c r="G87" i="21"/>
  <c r="K87" i="21"/>
  <c r="O87" i="21"/>
  <c r="S87" i="21"/>
  <c r="W87" i="21"/>
  <c r="AA87" i="21"/>
  <c r="D87" i="21"/>
  <c r="L87" i="21"/>
  <c r="P87" i="21"/>
  <c r="X87" i="21"/>
  <c r="H87" i="21"/>
  <c r="T87" i="21"/>
  <c r="E87" i="21"/>
  <c r="I87" i="21"/>
  <c r="M87" i="21"/>
  <c r="Q87" i="21"/>
  <c r="U87" i="21"/>
  <c r="Y87" i="21"/>
  <c r="C87" i="21"/>
  <c r="F87" i="21"/>
  <c r="J87" i="21"/>
  <c r="N87" i="21"/>
  <c r="R87" i="21"/>
  <c r="V87" i="21"/>
  <c r="Z87" i="21"/>
  <c r="A178" i="21"/>
  <c r="G81" i="21"/>
  <c r="K81" i="21"/>
  <c r="O81" i="21"/>
  <c r="S81" i="21"/>
  <c r="W81" i="21"/>
  <c r="AA81" i="21"/>
  <c r="D81" i="21"/>
  <c r="H81" i="21"/>
  <c r="L81" i="21"/>
  <c r="P81" i="21"/>
  <c r="T81" i="21"/>
  <c r="X81" i="21"/>
  <c r="E81" i="21"/>
  <c r="I81" i="21"/>
  <c r="M81" i="21"/>
  <c r="Q81" i="21"/>
  <c r="U81" i="21"/>
  <c r="Y81" i="21"/>
  <c r="C81" i="21"/>
  <c r="F81" i="21"/>
  <c r="J81" i="21"/>
  <c r="N81" i="21"/>
  <c r="R81" i="21"/>
  <c r="V81" i="21"/>
  <c r="Z81" i="21"/>
  <c r="A172" i="21"/>
  <c r="K100" i="21"/>
  <c r="N101" i="21"/>
  <c r="C101" i="21"/>
  <c r="I101" i="21"/>
  <c r="F94" i="21"/>
  <c r="D96" i="21"/>
  <c r="M94" i="21"/>
  <c r="B76" i="21"/>
  <c r="A128" i="21" s="1"/>
  <c r="B89" i="21"/>
  <c r="M95" i="21"/>
  <c r="C96" i="21"/>
  <c r="E100" i="21"/>
  <c r="E95" i="21"/>
  <c r="N138" i="21"/>
  <c r="O141" i="21"/>
  <c r="L149" i="21"/>
  <c r="P147" i="21"/>
  <c r="V181" i="21"/>
  <c r="K181" i="21"/>
  <c r="B181" i="21"/>
  <c r="P181" i="21"/>
  <c r="I181" i="21"/>
  <c r="M181" i="21"/>
  <c r="Q181" i="21"/>
  <c r="M93" i="21"/>
  <c r="H93" i="21"/>
  <c r="I93" i="21"/>
  <c r="L93" i="21"/>
  <c r="R113" i="21"/>
  <c r="Q99" i="21"/>
  <c r="P111" i="21"/>
  <c r="O97" i="21"/>
  <c r="D99" i="21"/>
  <c r="J99" i="21"/>
  <c r="G99" i="21"/>
  <c r="Q110" i="21"/>
  <c r="P96" i="21"/>
  <c r="G93" i="21"/>
  <c r="J93" i="21"/>
  <c r="B74" i="21"/>
  <c r="A126" i="21" s="1"/>
  <c r="L97" i="21"/>
  <c r="C97" i="21"/>
  <c r="E97" i="21"/>
  <c r="H97" i="21"/>
  <c r="M97" i="21"/>
  <c r="G97" i="21"/>
  <c r="J97" i="21"/>
  <c r="F97" i="21"/>
  <c r="I97" i="21"/>
  <c r="D97" i="21"/>
  <c r="K97" i="21"/>
  <c r="B68" i="21"/>
  <c r="A120" i="21" s="1"/>
  <c r="E93" i="21"/>
  <c r="C181" i="21"/>
  <c r="G181" i="21"/>
  <c r="O181" i="21"/>
  <c r="S181" i="21"/>
  <c r="W181" i="21"/>
  <c r="F181" i="21"/>
  <c r="L181" i="21"/>
  <c r="E181" i="21"/>
  <c r="T181" i="21"/>
  <c r="Z181" i="21"/>
  <c r="H181" i="21"/>
  <c r="N181" i="21"/>
  <c r="U181" i="21"/>
  <c r="X181" i="21"/>
  <c r="D181" i="21"/>
  <c r="J181" i="21"/>
  <c r="R181" i="21"/>
  <c r="Y181" i="21"/>
  <c r="C99" i="21"/>
  <c r="I99" i="21"/>
  <c r="M99" i="21"/>
  <c r="K93" i="21"/>
  <c r="N96" i="21"/>
  <c r="H96" i="21"/>
  <c r="D93" i="21"/>
  <c r="L96" i="21"/>
  <c r="J100" i="21"/>
  <c r="G94" i="21"/>
  <c r="J94" i="21"/>
  <c r="M98" i="21"/>
  <c r="L98" i="21"/>
  <c r="J96" i="21"/>
  <c r="G100" i="21"/>
  <c r="N100" i="21"/>
  <c r="N98" i="21"/>
  <c r="L95" i="21"/>
  <c r="N99" i="21"/>
  <c r="K99" i="21"/>
  <c r="F99" i="21"/>
  <c r="G95" i="21"/>
  <c r="I96" i="21"/>
  <c r="I100" i="21"/>
  <c r="M100" i="21"/>
  <c r="H95" i="21"/>
  <c r="G96" i="21"/>
  <c r="D100" i="21"/>
  <c r="D95" i="21"/>
  <c r="J98" i="21"/>
  <c r="D94" i="21"/>
  <c r="Q109" i="21"/>
  <c r="P95" i="21"/>
  <c r="O93" i="21"/>
  <c r="P107" i="21"/>
  <c r="P108" i="21"/>
  <c r="O94" i="21"/>
  <c r="P101" i="21"/>
  <c r="P99" i="21"/>
  <c r="H100" i="21"/>
  <c r="P114" i="21"/>
  <c r="O100" i="21"/>
  <c r="P112" i="21"/>
  <c r="O98" i="21"/>
  <c r="N97" i="21"/>
  <c r="L99" i="21"/>
  <c r="H99" i="21"/>
  <c r="E99" i="21"/>
  <c r="O96" i="21"/>
  <c r="I95" i="21"/>
  <c r="G101" i="21"/>
  <c r="L101" i="21"/>
  <c r="D101" i="21"/>
  <c r="F96" i="21"/>
  <c r="C93" i="21"/>
  <c r="H94" i="21"/>
  <c r="G98" i="21"/>
  <c r="F100" i="21"/>
  <c r="D98" i="21"/>
  <c r="C94" i="21"/>
  <c r="C95" i="21"/>
  <c r="N93" i="21"/>
  <c r="E98" i="21"/>
  <c r="E94" i="21"/>
  <c r="Q115" i="21"/>
  <c r="Q101" i="21" s="1"/>
  <c r="B18" i="8"/>
  <c r="J204" i="21" l="1"/>
  <c r="H207" i="21"/>
  <c r="K185" i="21"/>
  <c r="G85" i="21"/>
  <c r="F176" i="21" s="1"/>
  <c r="K85" i="21"/>
  <c r="J176" i="21" s="1"/>
  <c r="O85" i="21"/>
  <c r="S85" i="21"/>
  <c r="W85" i="21"/>
  <c r="AA85" i="21"/>
  <c r="Z176" i="21" s="1"/>
  <c r="C85" i="21"/>
  <c r="D85" i="21"/>
  <c r="H85" i="21"/>
  <c r="L85" i="21"/>
  <c r="K176" i="21" s="1"/>
  <c r="P85" i="21"/>
  <c r="O176" i="21" s="1"/>
  <c r="T85" i="21"/>
  <c r="X85" i="21"/>
  <c r="E85" i="21"/>
  <c r="D176" i="21" s="1"/>
  <c r="I85" i="21"/>
  <c r="M85" i="21"/>
  <c r="Q85" i="21"/>
  <c r="U85" i="21"/>
  <c r="T176" i="21" s="1"/>
  <c r="Y85" i="21"/>
  <c r="F85" i="21"/>
  <c r="J85" i="21"/>
  <c r="N85" i="21"/>
  <c r="M176" i="21" s="1"/>
  <c r="R85" i="21"/>
  <c r="V85" i="21"/>
  <c r="Z85" i="21"/>
  <c r="A176" i="21"/>
  <c r="G89" i="21"/>
  <c r="K89" i="21"/>
  <c r="O89" i="21"/>
  <c r="C89" i="21"/>
  <c r="B180" i="21" s="1"/>
  <c r="H89" i="21"/>
  <c r="D89" i="21"/>
  <c r="L89" i="21"/>
  <c r="K180" i="21" s="1"/>
  <c r="E89" i="21"/>
  <c r="D180" i="21" s="1"/>
  <c r="I89" i="21"/>
  <c r="M89" i="21"/>
  <c r="F89" i="21"/>
  <c r="J89" i="21"/>
  <c r="I180" i="21" s="1"/>
  <c r="N89" i="21"/>
  <c r="A180" i="21"/>
  <c r="G86" i="21"/>
  <c r="K86" i="21"/>
  <c r="J177" i="21" s="1"/>
  <c r="H86" i="21"/>
  <c r="C86" i="21"/>
  <c r="D86" i="21"/>
  <c r="C177" i="21" s="1"/>
  <c r="L86" i="21"/>
  <c r="E86" i="21"/>
  <c r="D177" i="21" s="1"/>
  <c r="I86" i="21"/>
  <c r="M86" i="21"/>
  <c r="L177" i="21" s="1"/>
  <c r="F86" i="21"/>
  <c r="E177" i="21" s="1"/>
  <c r="J86" i="21"/>
  <c r="I177" i="21" s="1"/>
  <c r="N86" i="21"/>
  <c r="A177" i="21"/>
  <c r="G82" i="21"/>
  <c r="F173" i="21" s="1"/>
  <c r="K82" i="21"/>
  <c r="O82" i="21"/>
  <c r="D82" i="21"/>
  <c r="C173" i="21" s="1"/>
  <c r="H82" i="21"/>
  <c r="G173" i="21" s="1"/>
  <c r="L82" i="21"/>
  <c r="P82" i="21"/>
  <c r="C82" i="21"/>
  <c r="E82" i="21"/>
  <c r="D173" i="21" s="1"/>
  <c r="I82" i="21"/>
  <c r="H173" i="21" s="1"/>
  <c r="M82" i="21"/>
  <c r="F82" i="21"/>
  <c r="J82" i="21"/>
  <c r="I173" i="21" s="1"/>
  <c r="N82" i="21"/>
  <c r="M173" i="21" s="1"/>
  <c r="A173" i="21"/>
  <c r="G84" i="21"/>
  <c r="F175" i="21" s="1"/>
  <c r="K84" i="21"/>
  <c r="J175" i="21" s="1"/>
  <c r="D84" i="21"/>
  <c r="C175" i="21" s="1"/>
  <c r="H84" i="21"/>
  <c r="G175" i="21" s="1"/>
  <c r="L84" i="21"/>
  <c r="K175" i="21" s="1"/>
  <c r="E84" i="21"/>
  <c r="D175" i="21" s="1"/>
  <c r="I84" i="21"/>
  <c r="H175" i="21" s="1"/>
  <c r="F84" i="21"/>
  <c r="J84" i="21"/>
  <c r="I175" i="21" s="1"/>
  <c r="C84" i="21"/>
  <c r="B175" i="21" s="1"/>
  <c r="A175" i="21"/>
  <c r="G88" i="21"/>
  <c r="K88" i="21"/>
  <c r="J179" i="21" s="1"/>
  <c r="O88" i="21"/>
  <c r="N179" i="21" s="1"/>
  <c r="S88" i="21"/>
  <c r="R179" i="21" s="1"/>
  <c r="W88" i="21"/>
  <c r="V179" i="21" s="1"/>
  <c r="AA88" i="21"/>
  <c r="Z179" i="21" s="1"/>
  <c r="H88" i="21"/>
  <c r="G179" i="21" s="1"/>
  <c r="P88" i="21"/>
  <c r="O179" i="21" s="1"/>
  <c r="X88" i="21"/>
  <c r="W179" i="21" s="1"/>
  <c r="D88" i="21"/>
  <c r="C179" i="21" s="1"/>
  <c r="L88" i="21"/>
  <c r="K179" i="21" s="1"/>
  <c r="T88" i="21"/>
  <c r="S179" i="21" s="1"/>
  <c r="E88" i="21"/>
  <c r="I88" i="21"/>
  <c r="H179" i="21" s="1"/>
  <c r="M88" i="21"/>
  <c r="L179" i="21" s="1"/>
  <c r="Q88" i="21"/>
  <c r="P179" i="21" s="1"/>
  <c r="U88" i="21"/>
  <c r="T179" i="21" s="1"/>
  <c r="Y88" i="21"/>
  <c r="X179" i="21" s="1"/>
  <c r="F88" i="21"/>
  <c r="E179" i="21" s="1"/>
  <c r="J88" i="21"/>
  <c r="I179" i="21" s="1"/>
  <c r="N88" i="21"/>
  <c r="M179" i="21" s="1"/>
  <c r="R88" i="21"/>
  <c r="V88" i="21"/>
  <c r="U179" i="21" s="1"/>
  <c r="Z88" i="21"/>
  <c r="Y179" i="21" s="1"/>
  <c r="C88" i="21"/>
  <c r="A179" i="21"/>
  <c r="G83" i="21"/>
  <c r="F174" i="21" s="1"/>
  <c r="K83" i="21"/>
  <c r="J174" i="21" s="1"/>
  <c r="O83" i="21"/>
  <c r="N174" i="21" s="1"/>
  <c r="S83" i="21"/>
  <c r="R174" i="21" s="1"/>
  <c r="W83" i="21"/>
  <c r="V174" i="21" s="1"/>
  <c r="AA83" i="21"/>
  <c r="Z174" i="21" s="1"/>
  <c r="D83" i="21"/>
  <c r="C174" i="21" s="1"/>
  <c r="H83" i="21"/>
  <c r="G174" i="21" s="1"/>
  <c r="L83" i="21"/>
  <c r="K174" i="21" s="1"/>
  <c r="P83" i="21"/>
  <c r="O174" i="21" s="1"/>
  <c r="T83" i="21"/>
  <c r="S174" i="21" s="1"/>
  <c r="X83" i="21"/>
  <c r="W174" i="21" s="1"/>
  <c r="E83" i="21"/>
  <c r="D174" i="21" s="1"/>
  <c r="I83" i="21"/>
  <c r="H174" i="21" s="1"/>
  <c r="M83" i="21"/>
  <c r="L174" i="21" s="1"/>
  <c r="Q83" i="21"/>
  <c r="P174" i="21" s="1"/>
  <c r="U83" i="21"/>
  <c r="T174" i="21" s="1"/>
  <c r="Y83" i="21"/>
  <c r="X174" i="21" s="1"/>
  <c r="C83" i="21"/>
  <c r="B174" i="21" s="1"/>
  <c r="F83" i="21"/>
  <c r="E174" i="21" s="1"/>
  <c r="J83" i="21"/>
  <c r="I174" i="21" s="1"/>
  <c r="N83" i="21"/>
  <c r="M174" i="21" s="1"/>
  <c r="R83" i="21"/>
  <c r="Q174" i="21" s="1"/>
  <c r="V83" i="21"/>
  <c r="U174" i="21" s="1"/>
  <c r="Z83" i="21"/>
  <c r="Y174" i="21" s="1"/>
  <c r="A174" i="21"/>
  <c r="Q147" i="21"/>
  <c r="Q82" i="21" s="1"/>
  <c r="P141" i="21"/>
  <c r="P89" i="21" s="1"/>
  <c r="N180" i="21"/>
  <c r="M149" i="21"/>
  <c r="M84" i="21" s="1"/>
  <c r="L175" i="21" s="1"/>
  <c r="O138" i="21"/>
  <c r="O86" i="21" s="1"/>
  <c r="N177" i="21" s="1"/>
  <c r="E176" i="21"/>
  <c r="I176" i="21"/>
  <c r="Q176" i="21"/>
  <c r="U176" i="21"/>
  <c r="Y176" i="21"/>
  <c r="C176" i="21"/>
  <c r="G176" i="21"/>
  <c r="S176" i="21"/>
  <c r="W176" i="21"/>
  <c r="R176" i="21"/>
  <c r="L176" i="21"/>
  <c r="H176" i="21"/>
  <c r="P176" i="21"/>
  <c r="X176" i="21"/>
  <c r="N176" i="21"/>
  <c r="B176" i="21"/>
  <c r="V176" i="21"/>
  <c r="E175" i="21"/>
  <c r="E173" i="21"/>
  <c r="N173" i="21"/>
  <c r="K173" i="21"/>
  <c r="B173" i="21"/>
  <c r="O173" i="21"/>
  <c r="L173" i="21"/>
  <c r="J173" i="21"/>
  <c r="Q112" i="21"/>
  <c r="P98" i="21"/>
  <c r="P93" i="21"/>
  <c r="Q107" i="21"/>
  <c r="R110" i="21"/>
  <c r="Q96" i="21"/>
  <c r="M177" i="21"/>
  <c r="G177" i="21"/>
  <c r="K177" i="21"/>
  <c r="B177" i="21"/>
  <c r="H177" i="21"/>
  <c r="F177" i="21"/>
  <c r="Q111" i="21"/>
  <c r="P97" i="21"/>
  <c r="E180" i="21"/>
  <c r="C180" i="21"/>
  <c r="G180" i="21"/>
  <c r="H180" i="21"/>
  <c r="F180" i="21"/>
  <c r="J180" i="21"/>
  <c r="L180" i="21"/>
  <c r="M180" i="21"/>
  <c r="Q179" i="21"/>
  <c r="D179" i="21"/>
  <c r="B179" i="21"/>
  <c r="F179" i="21"/>
  <c r="Q114" i="21"/>
  <c r="P100" i="21"/>
  <c r="E172" i="21"/>
  <c r="I172" i="21"/>
  <c r="M172" i="21"/>
  <c r="Q172" i="21"/>
  <c r="U172" i="21"/>
  <c r="Y172" i="21"/>
  <c r="F172" i="21"/>
  <c r="K172" i="21"/>
  <c r="P172" i="21"/>
  <c r="V172" i="21"/>
  <c r="C172" i="21"/>
  <c r="H172" i="21"/>
  <c r="N172" i="21"/>
  <c r="S172" i="21"/>
  <c r="X172" i="21"/>
  <c r="G172" i="21"/>
  <c r="R172" i="21"/>
  <c r="J172" i="21"/>
  <c r="T172" i="21"/>
  <c r="D172" i="21"/>
  <c r="O172" i="21"/>
  <c r="Z172" i="21"/>
  <c r="L172" i="21"/>
  <c r="W172" i="21"/>
  <c r="B172" i="21"/>
  <c r="Q108" i="21"/>
  <c r="P94" i="21"/>
  <c r="R109" i="21"/>
  <c r="Q95" i="21"/>
  <c r="E178" i="21"/>
  <c r="I178" i="21"/>
  <c r="M178" i="21"/>
  <c r="Q178" i="21"/>
  <c r="U178" i="21"/>
  <c r="Y178" i="21"/>
  <c r="C178" i="21"/>
  <c r="G178" i="21"/>
  <c r="K178" i="21"/>
  <c r="O178" i="21"/>
  <c r="S178" i="21"/>
  <c r="W178" i="21"/>
  <c r="J178" i="21"/>
  <c r="R178" i="21"/>
  <c r="D178" i="21"/>
  <c r="L178" i="21"/>
  <c r="T178" i="21"/>
  <c r="H178" i="21"/>
  <c r="P178" i="21"/>
  <c r="X178" i="21"/>
  <c r="N178" i="21"/>
  <c r="V178" i="21"/>
  <c r="Z178" i="21"/>
  <c r="F178" i="21"/>
  <c r="B178" i="21"/>
  <c r="S113" i="21"/>
  <c r="R99" i="21"/>
  <c r="R115" i="21"/>
  <c r="R101" i="21" s="1"/>
  <c r="A113" i="10"/>
  <c r="A114" i="10"/>
  <c r="A115" i="10"/>
  <c r="A112" i="10"/>
  <c r="B106" i="10"/>
  <c r="A102" i="10"/>
  <c r="A103" i="10"/>
  <c r="A104" i="10"/>
  <c r="A101" i="10"/>
  <c r="K204" i="21" l="1"/>
  <c r="I207" i="21"/>
  <c r="L185" i="21"/>
  <c r="P138" i="21"/>
  <c r="P86" i="21" s="1"/>
  <c r="O177" i="21" s="1"/>
  <c r="Q141" i="21"/>
  <c r="Q89" i="21" s="1"/>
  <c r="O180" i="21"/>
  <c r="N149" i="21"/>
  <c r="N84" i="21" s="1"/>
  <c r="M175" i="21" s="1"/>
  <c r="R147" i="21"/>
  <c r="R82" i="21" s="1"/>
  <c r="P173" i="21"/>
  <c r="T113" i="21"/>
  <c r="S99" i="21"/>
  <c r="Q93" i="21"/>
  <c r="R107" i="21"/>
  <c r="R108" i="21"/>
  <c r="Q94" i="21"/>
  <c r="R114" i="21"/>
  <c r="Q100" i="21"/>
  <c r="S109" i="21"/>
  <c r="R95" i="21"/>
  <c r="R111" i="21"/>
  <c r="Q97" i="21"/>
  <c r="S110" i="21"/>
  <c r="R96" i="21"/>
  <c r="R112" i="21"/>
  <c r="Q98" i="21"/>
  <c r="S115" i="21"/>
  <c r="S101" i="21" s="1"/>
  <c r="E103" i="10"/>
  <c r="D103" i="10"/>
  <c r="C103" i="10"/>
  <c r="F103" i="10"/>
  <c r="B103" i="10"/>
  <c r="F102" i="10"/>
  <c r="B102" i="10"/>
  <c r="E102" i="10"/>
  <c r="D102" i="10"/>
  <c r="C102" i="10"/>
  <c r="E101" i="10"/>
  <c r="D101" i="10"/>
  <c r="C101" i="10"/>
  <c r="F101" i="10"/>
  <c r="B101" i="10"/>
  <c r="G104" i="10"/>
  <c r="C104" i="10"/>
  <c r="F104" i="10"/>
  <c r="B104" i="10"/>
  <c r="E104" i="10"/>
  <c r="D104" i="10"/>
  <c r="A122" i="10"/>
  <c r="C115" i="10"/>
  <c r="A121" i="10"/>
  <c r="C114" i="10"/>
  <c r="A120" i="10"/>
  <c r="C113" i="10"/>
  <c r="A119" i="10"/>
  <c r="C112" i="10"/>
  <c r="A126" i="10"/>
  <c r="A132" i="10" s="1"/>
  <c r="A129" i="10"/>
  <c r="A135" i="10" s="1"/>
  <c r="A128" i="10"/>
  <c r="A134" i="10" s="1"/>
  <c r="A127" i="10"/>
  <c r="A133" i="10" s="1"/>
  <c r="L204" i="21" l="1"/>
  <c r="J207" i="21"/>
  <c r="M185" i="21"/>
  <c r="O149" i="21"/>
  <c r="O84" i="21" s="1"/>
  <c r="N175" i="21" s="1"/>
  <c r="Q138" i="21"/>
  <c r="Q86" i="21" s="1"/>
  <c r="P177" i="21" s="1"/>
  <c r="S147" i="21"/>
  <c r="S82" i="21" s="1"/>
  <c r="Q173" i="21"/>
  <c r="R141" i="21"/>
  <c r="R89" i="21" s="1"/>
  <c r="P180" i="21"/>
  <c r="S112" i="21"/>
  <c r="R98" i="21"/>
  <c r="S111" i="21"/>
  <c r="R97" i="21"/>
  <c r="S114" i="21"/>
  <c r="R100" i="21"/>
  <c r="T110" i="21"/>
  <c r="S96" i="21"/>
  <c r="T109" i="21"/>
  <c r="S95" i="21"/>
  <c r="S108" i="21"/>
  <c r="R94" i="21"/>
  <c r="U113" i="21"/>
  <c r="T99" i="21"/>
  <c r="R93" i="21"/>
  <c r="S107" i="21"/>
  <c r="T115" i="21"/>
  <c r="T101" i="21" s="1"/>
  <c r="A141" i="10"/>
  <c r="A147" i="10"/>
  <c r="A138" i="10"/>
  <c r="A144" i="10"/>
  <c r="A140" i="10"/>
  <c r="A146" i="10"/>
  <c r="A139" i="10"/>
  <c r="A145" i="10"/>
  <c r="J2" i="8"/>
  <c r="M204" i="21" l="1"/>
  <c r="K207" i="21"/>
  <c r="N185" i="21"/>
  <c r="T147" i="21"/>
  <c r="T82" i="21" s="1"/>
  <c r="R173" i="21"/>
  <c r="P149" i="21"/>
  <c r="P84" i="21" s="1"/>
  <c r="O175" i="21" s="1"/>
  <c r="S141" i="21"/>
  <c r="S89" i="21" s="1"/>
  <c r="Q180" i="21"/>
  <c r="R138" i="21"/>
  <c r="R86" i="21" s="1"/>
  <c r="Q177" i="21" s="1"/>
  <c r="T108" i="21"/>
  <c r="S94" i="21"/>
  <c r="U110" i="21"/>
  <c r="T96" i="21"/>
  <c r="T111" i="21"/>
  <c r="S97" i="21"/>
  <c r="V113" i="21"/>
  <c r="U99" i="21"/>
  <c r="U109" i="21"/>
  <c r="T95" i="21"/>
  <c r="T114" i="21"/>
  <c r="S100" i="21"/>
  <c r="T112" i="21"/>
  <c r="S98" i="21"/>
  <c r="S93" i="21"/>
  <c r="T107" i="21"/>
  <c r="U115" i="21"/>
  <c r="U101" i="21" s="1"/>
  <c r="A150" i="10"/>
  <c r="A160" i="10"/>
  <c r="A161" i="10"/>
  <c r="A151" i="10"/>
  <c r="A163" i="10"/>
  <c r="A153" i="10"/>
  <c r="A162" i="10"/>
  <c r="A152" i="10"/>
  <c r="C95" i="10"/>
  <c r="C94" i="10"/>
  <c r="B34" i="8" s="1"/>
  <c r="C93" i="10"/>
  <c r="C92" i="10"/>
  <c r="A87" i="10"/>
  <c r="A81" i="10"/>
  <c r="Q3" i="9"/>
  <c r="Q2" i="9"/>
  <c r="P4" i="9"/>
  <c r="Q5" i="9" s="1"/>
  <c r="P3" i="9"/>
  <c r="Q4" i="9" s="1"/>
  <c r="N204" i="21" l="1"/>
  <c r="L207" i="21"/>
  <c r="O185" i="21"/>
  <c r="T141" i="21"/>
  <c r="T89" i="21" s="1"/>
  <c r="R180" i="21"/>
  <c r="S138" i="21"/>
  <c r="S86" i="21" s="1"/>
  <c r="R177" i="21" s="1"/>
  <c r="Q149" i="21"/>
  <c r="Q84" i="21" s="1"/>
  <c r="P175" i="21" s="1"/>
  <c r="U147" i="21"/>
  <c r="U82" i="21" s="1"/>
  <c r="S173" i="21"/>
  <c r="U114" i="21"/>
  <c r="T100" i="21"/>
  <c r="W113" i="21"/>
  <c r="V99" i="21"/>
  <c r="V110" i="21"/>
  <c r="U96" i="21"/>
  <c r="U112" i="21"/>
  <c r="T98" i="21"/>
  <c r="V109" i="21"/>
  <c r="U95" i="21"/>
  <c r="U111" i="21"/>
  <c r="T97" i="21"/>
  <c r="U108" i="21"/>
  <c r="T94" i="21"/>
  <c r="T93" i="21"/>
  <c r="U107" i="21"/>
  <c r="V115" i="21"/>
  <c r="V101" i="21" s="1"/>
  <c r="E6" i="9"/>
  <c r="D7" i="9"/>
  <c r="B11" i="16"/>
  <c r="A11" i="16"/>
  <c r="A24" i="12"/>
  <c r="A47" i="15"/>
  <c r="A35" i="15"/>
  <c r="A23" i="15"/>
  <c r="A11" i="15"/>
  <c r="A12" i="12"/>
  <c r="O204" i="21" l="1"/>
  <c r="M207" i="21"/>
  <c r="P185" i="21"/>
  <c r="V147" i="21"/>
  <c r="V82" i="21" s="1"/>
  <c r="T173" i="21"/>
  <c r="T138" i="21"/>
  <c r="T86" i="21" s="1"/>
  <c r="S177" i="21" s="1"/>
  <c r="R149" i="21"/>
  <c r="R84" i="21" s="1"/>
  <c r="Q175" i="21" s="1"/>
  <c r="U141" i="21"/>
  <c r="U89" i="21" s="1"/>
  <c r="S180" i="21"/>
  <c r="W109" i="21"/>
  <c r="V95" i="21"/>
  <c r="W110" i="21"/>
  <c r="V96" i="21"/>
  <c r="V114" i="21"/>
  <c r="U100" i="21"/>
  <c r="U93" i="21"/>
  <c r="V107" i="21"/>
  <c r="V111" i="21"/>
  <c r="U97" i="21"/>
  <c r="V112" i="21"/>
  <c r="U98" i="21"/>
  <c r="X113" i="21"/>
  <c r="W99" i="21"/>
  <c r="V108" i="21"/>
  <c r="U94" i="21"/>
  <c r="W115" i="21"/>
  <c r="W101" i="21" s="1"/>
  <c r="B3" i="21"/>
  <c r="E3" i="21" s="1"/>
  <c r="B11" i="21"/>
  <c r="B7" i="21"/>
  <c r="B8" i="21"/>
  <c r="B5" i="21"/>
  <c r="B4" i="21"/>
  <c r="B9" i="21"/>
  <c r="B10" i="21"/>
  <c r="B6" i="21"/>
  <c r="B51" i="21"/>
  <c r="E51" i="21" s="1"/>
  <c r="B18" i="21"/>
  <c r="B20" i="21"/>
  <c r="B17" i="21"/>
  <c r="B24" i="21"/>
  <c r="B23" i="21"/>
  <c r="B16" i="21"/>
  <c r="B22" i="21"/>
  <c r="B19" i="21"/>
  <c r="B21" i="21"/>
  <c r="B45" i="21"/>
  <c r="E45" i="21" s="1"/>
  <c r="B50" i="21"/>
  <c r="E50" i="21" s="1"/>
  <c r="B46" i="21"/>
  <c r="E46" i="21" s="1"/>
  <c r="B49" i="21"/>
  <c r="E49" i="21" s="1"/>
  <c r="B64" i="21"/>
  <c r="B42" i="21"/>
  <c r="E42" i="21" s="1"/>
  <c r="B47" i="21"/>
  <c r="E47" i="21" s="1"/>
  <c r="B44" i="21"/>
  <c r="E44" i="21" s="1"/>
  <c r="B48" i="21"/>
  <c r="E48" i="21" s="1"/>
  <c r="B43" i="21"/>
  <c r="E43" i="21" s="1"/>
  <c r="B57" i="21"/>
  <c r="B60" i="21"/>
  <c r="B62" i="21"/>
  <c r="B63" i="21"/>
  <c r="B55" i="21"/>
  <c r="B58" i="21"/>
  <c r="B56" i="21"/>
  <c r="B61" i="21"/>
  <c r="B59" i="21"/>
  <c r="C120" i="10"/>
  <c r="C119" i="10"/>
  <c r="C122" i="10"/>
  <c r="C121" i="10"/>
  <c r="A26" i="6"/>
  <c r="C11" i="9"/>
  <c r="P204" i="21" l="1"/>
  <c r="D64" i="21"/>
  <c r="C77" i="21" s="1"/>
  <c r="N64" i="21"/>
  <c r="M77" i="21" s="1"/>
  <c r="W64" i="21"/>
  <c r="V77" i="21" s="1"/>
  <c r="U268" i="21" s="1"/>
  <c r="K64" i="21"/>
  <c r="J77" i="21" s="1"/>
  <c r="X64" i="21"/>
  <c r="W77" i="21" s="1"/>
  <c r="V268" i="21" s="1"/>
  <c r="O64" i="21"/>
  <c r="N77" i="21" s="1"/>
  <c r="F64" i="21"/>
  <c r="E77" i="21" s="1"/>
  <c r="Q64" i="21"/>
  <c r="P77" i="21" s="1"/>
  <c r="G64" i="21"/>
  <c r="F77" i="21" s="1"/>
  <c r="M64" i="21"/>
  <c r="L77" i="21" s="1"/>
  <c r="H64" i="21"/>
  <c r="G77" i="21" s="1"/>
  <c r="Z64" i="21"/>
  <c r="Y77" i="21" s="1"/>
  <c r="X268" i="21" s="1"/>
  <c r="P64" i="21"/>
  <c r="O77" i="21" s="1"/>
  <c r="AA64" i="21"/>
  <c r="Z77" i="21" s="1"/>
  <c r="Y268" i="21" s="1"/>
  <c r="V64" i="21"/>
  <c r="U77" i="21" s="1"/>
  <c r="T268" i="21" s="1"/>
  <c r="L64" i="21"/>
  <c r="K77" i="21" s="1"/>
  <c r="I64" i="21"/>
  <c r="H77" i="21" s="1"/>
  <c r="S64" i="21"/>
  <c r="R77" i="21" s="1"/>
  <c r="U64" i="21"/>
  <c r="T77" i="21" s="1"/>
  <c r="S268" i="21" s="1"/>
  <c r="AB64" i="21"/>
  <c r="AA77" i="21" s="1"/>
  <c r="Z268" i="21" s="1"/>
  <c r="E64" i="21"/>
  <c r="D77" i="21" s="1"/>
  <c r="Y64" i="21"/>
  <c r="X77" i="21" s="1"/>
  <c r="W268" i="21" s="1"/>
  <c r="R64" i="21"/>
  <c r="Q77" i="21" s="1"/>
  <c r="J64" i="21"/>
  <c r="I77" i="21" s="1"/>
  <c r="T64" i="21"/>
  <c r="S77" i="21" s="1"/>
  <c r="C58" i="21"/>
  <c r="C60" i="21"/>
  <c r="C59" i="21"/>
  <c r="C55" i="21"/>
  <c r="C57" i="21"/>
  <c r="C61" i="21"/>
  <c r="C63" i="21"/>
  <c r="C56" i="21"/>
  <c r="C62" i="21"/>
  <c r="C64" i="21"/>
  <c r="N207" i="21"/>
  <c r="Q185" i="21"/>
  <c r="F4" i="21"/>
  <c r="J4" i="21"/>
  <c r="N4" i="21"/>
  <c r="R4" i="21"/>
  <c r="V4" i="21"/>
  <c r="H4" i="21"/>
  <c r="P4" i="21"/>
  <c r="G4" i="21"/>
  <c r="K4" i="21"/>
  <c r="O4" i="21"/>
  <c r="S4" i="21"/>
  <c r="W4" i="21"/>
  <c r="L4" i="21"/>
  <c r="T4" i="21"/>
  <c r="X4" i="21"/>
  <c r="M4" i="21"/>
  <c r="E4" i="21"/>
  <c r="Q4" i="21"/>
  <c r="U4" i="21"/>
  <c r="I4" i="21"/>
  <c r="F11" i="21"/>
  <c r="J11" i="21"/>
  <c r="N11" i="21"/>
  <c r="R11" i="21"/>
  <c r="V11" i="21"/>
  <c r="G11" i="21"/>
  <c r="O11" i="21"/>
  <c r="W11" i="21"/>
  <c r="K11" i="21"/>
  <c r="S11" i="21"/>
  <c r="E11" i="21"/>
  <c r="H11" i="21"/>
  <c r="P11" i="21"/>
  <c r="X11" i="21"/>
  <c r="I11" i="21"/>
  <c r="Q11" i="21"/>
  <c r="Y11" i="21"/>
  <c r="L11" i="21"/>
  <c r="T11" i="21"/>
  <c r="M11" i="21"/>
  <c r="U11" i="21"/>
  <c r="F6" i="21"/>
  <c r="J6" i="21"/>
  <c r="N6" i="21"/>
  <c r="R6" i="21"/>
  <c r="V6" i="21"/>
  <c r="E6" i="21"/>
  <c r="L6" i="21"/>
  <c r="T6" i="21"/>
  <c r="G6" i="21"/>
  <c r="K6" i="21"/>
  <c r="O6" i="21"/>
  <c r="S6" i="21"/>
  <c r="W6" i="21"/>
  <c r="H6" i="21"/>
  <c r="P6" i="21"/>
  <c r="X6" i="21"/>
  <c r="M6" i="21"/>
  <c r="Q6" i="21"/>
  <c r="U6" i="21"/>
  <c r="I6" i="21"/>
  <c r="Y6" i="21"/>
  <c r="F5" i="21"/>
  <c r="J5" i="21"/>
  <c r="N5" i="21"/>
  <c r="R5" i="21"/>
  <c r="V5" i="21"/>
  <c r="L5" i="21"/>
  <c r="T5" i="21"/>
  <c r="G5" i="21"/>
  <c r="K5" i="21"/>
  <c r="O5" i="21"/>
  <c r="S5" i="21"/>
  <c r="W5" i="21"/>
  <c r="H5" i="21"/>
  <c r="P5" i="21"/>
  <c r="X5" i="21"/>
  <c r="U5" i="21"/>
  <c r="I5" i="21"/>
  <c r="Y5" i="21"/>
  <c r="E5" i="21"/>
  <c r="M5" i="21"/>
  <c r="Q5" i="21"/>
  <c r="F10" i="21"/>
  <c r="J10" i="21"/>
  <c r="N10" i="21"/>
  <c r="R10" i="21"/>
  <c r="V10" i="21"/>
  <c r="E10" i="21"/>
  <c r="W10" i="21"/>
  <c r="G10" i="21"/>
  <c r="K10" i="21"/>
  <c r="O10" i="21"/>
  <c r="S10" i="21"/>
  <c r="H10" i="21"/>
  <c r="P10" i="21"/>
  <c r="X10" i="21"/>
  <c r="I10" i="21"/>
  <c r="Q10" i="21"/>
  <c r="L10" i="21"/>
  <c r="T10" i="21"/>
  <c r="M10" i="21"/>
  <c r="U10" i="21"/>
  <c r="F8" i="21"/>
  <c r="J8" i="21"/>
  <c r="N8" i="21"/>
  <c r="R8" i="21"/>
  <c r="V8" i="21"/>
  <c r="L8" i="21"/>
  <c r="G8" i="21"/>
  <c r="K8" i="21"/>
  <c r="O8" i="21"/>
  <c r="S8" i="21"/>
  <c r="W8" i="21"/>
  <c r="H8" i="21"/>
  <c r="P8" i="21"/>
  <c r="M8" i="21"/>
  <c r="X8" i="21"/>
  <c r="Q8" i="21"/>
  <c r="T8" i="21"/>
  <c r="E8" i="21"/>
  <c r="I8" i="21"/>
  <c r="U8" i="21"/>
  <c r="I3" i="21"/>
  <c r="M3" i="21"/>
  <c r="F3" i="21"/>
  <c r="J3" i="21"/>
  <c r="N3" i="21"/>
  <c r="R3" i="21"/>
  <c r="V3" i="21"/>
  <c r="H3" i="21"/>
  <c r="P3" i="21"/>
  <c r="T3" i="21"/>
  <c r="G3" i="21"/>
  <c r="K3" i="21"/>
  <c r="O3" i="21"/>
  <c r="S3" i="21"/>
  <c r="W3" i="21"/>
  <c r="L3" i="21"/>
  <c r="X3" i="21"/>
  <c r="U3" i="21"/>
  <c r="Q3" i="21"/>
  <c r="F9" i="21"/>
  <c r="J9" i="21"/>
  <c r="N9" i="21"/>
  <c r="R9" i="21"/>
  <c r="V9" i="21"/>
  <c r="Z9" i="21"/>
  <c r="G9" i="21"/>
  <c r="K9" i="21"/>
  <c r="O9" i="21"/>
  <c r="S9" i="21"/>
  <c r="W9" i="21"/>
  <c r="H9" i="21"/>
  <c r="P9" i="21"/>
  <c r="X9" i="21"/>
  <c r="I9" i="21"/>
  <c r="Q9" i="21"/>
  <c r="Y9" i="21"/>
  <c r="L9" i="21"/>
  <c r="T9" i="21"/>
  <c r="M9" i="21"/>
  <c r="U9" i="21"/>
  <c r="E9" i="21"/>
  <c r="F7" i="21"/>
  <c r="J7" i="21"/>
  <c r="N7" i="21"/>
  <c r="R7" i="21"/>
  <c r="V7" i="21"/>
  <c r="E7" i="21"/>
  <c r="L7" i="21"/>
  <c r="T7" i="21"/>
  <c r="G7" i="21"/>
  <c r="K7" i="21"/>
  <c r="O7" i="21"/>
  <c r="S7" i="21"/>
  <c r="W7" i="21"/>
  <c r="H7" i="21"/>
  <c r="P7" i="21"/>
  <c r="X7" i="21"/>
  <c r="U7" i="21"/>
  <c r="I7" i="21"/>
  <c r="M7" i="21"/>
  <c r="Q7" i="21"/>
  <c r="I21" i="21"/>
  <c r="M21" i="21"/>
  <c r="Q21" i="21"/>
  <c r="U21" i="21"/>
  <c r="F21" i="21"/>
  <c r="K21" i="21"/>
  <c r="P21" i="21"/>
  <c r="V21" i="21"/>
  <c r="G21" i="21"/>
  <c r="L21" i="21"/>
  <c r="R21" i="21"/>
  <c r="W21" i="21"/>
  <c r="E21" i="21"/>
  <c r="H21" i="21"/>
  <c r="N21" i="21"/>
  <c r="S21" i="21"/>
  <c r="X21" i="21"/>
  <c r="J21" i="21"/>
  <c r="O21" i="21"/>
  <c r="T21" i="21"/>
  <c r="I19" i="21"/>
  <c r="M19" i="21"/>
  <c r="Q19" i="21"/>
  <c r="U19" i="21"/>
  <c r="Y19" i="21"/>
  <c r="F19" i="21"/>
  <c r="J19" i="21"/>
  <c r="N19" i="21"/>
  <c r="R19" i="21"/>
  <c r="V19" i="21"/>
  <c r="L19" i="21"/>
  <c r="T19" i="21"/>
  <c r="E19" i="21"/>
  <c r="G19" i="21"/>
  <c r="O19" i="21"/>
  <c r="W19" i="21"/>
  <c r="H19" i="21"/>
  <c r="P19" i="21"/>
  <c r="X19" i="21"/>
  <c r="K19" i="21"/>
  <c r="S19" i="21"/>
  <c r="I17" i="21"/>
  <c r="M17" i="21"/>
  <c r="Q17" i="21"/>
  <c r="U17" i="21"/>
  <c r="F17" i="21"/>
  <c r="C30" i="21" s="1"/>
  <c r="E56" i="21" s="1"/>
  <c r="D69" i="21" s="1"/>
  <c r="J17" i="21"/>
  <c r="N17" i="21"/>
  <c r="R17" i="21"/>
  <c r="V17" i="21"/>
  <c r="L17" i="21"/>
  <c r="I30" i="21" s="1"/>
  <c r="K56" i="21" s="1"/>
  <c r="J69" i="21" s="1"/>
  <c r="T17" i="21"/>
  <c r="G17" i="21"/>
  <c r="O17" i="21"/>
  <c r="W17" i="21"/>
  <c r="H17" i="21"/>
  <c r="P17" i="21"/>
  <c r="X17" i="21"/>
  <c r="E17" i="21"/>
  <c r="B30" i="21" s="1"/>
  <c r="D56" i="21" s="1"/>
  <c r="C69" i="21" s="1"/>
  <c r="K17" i="21"/>
  <c r="S17" i="21"/>
  <c r="I22" i="21"/>
  <c r="M22" i="21"/>
  <c r="Q22" i="21"/>
  <c r="U22" i="21"/>
  <c r="Y22" i="21"/>
  <c r="H22" i="21"/>
  <c r="N22" i="21"/>
  <c r="S22" i="21"/>
  <c r="X22" i="21"/>
  <c r="J22" i="21"/>
  <c r="O22" i="21"/>
  <c r="T22" i="21"/>
  <c r="Z22" i="21"/>
  <c r="F22" i="21"/>
  <c r="K22" i="21"/>
  <c r="P22" i="21"/>
  <c r="V22" i="21"/>
  <c r="E22" i="21"/>
  <c r="G22" i="21"/>
  <c r="L22" i="21"/>
  <c r="R22" i="21"/>
  <c r="W22" i="21"/>
  <c r="I23" i="21"/>
  <c r="M23" i="21"/>
  <c r="Q23" i="21"/>
  <c r="U23" i="21"/>
  <c r="F23" i="21"/>
  <c r="K23" i="21"/>
  <c r="P23" i="21"/>
  <c r="V23" i="21"/>
  <c r="G23" i="21"/>
  <c r="L23" i="21"/>
  <c r="R23" i="21"/>
  <c r="W23" i="21"/>
  <c r="H23" i="21"/>
  <c r="N23" i="21"/>
  <c r="S23" i="21"/>
  <c r="X23" i="21"/>
  <c r="J23" i="21"/>
  <c r="O23" i="21"/>
  <c r="T23" i="21"/>
  <c r="E23" i="21"/>
  <c r="I24" i="21"/>
  <c r="M24" i="21"/>
  <c r="Q24" i="21"/>
  <c r="U24" i="21"/>
  <c r="Y24" i="21"/>
  <c r="E24" i="21"/>
  <c r="H24" i="21"/>
  <c r="N24" i="21"/>
  <c r="S24" i="21"/>
  <c r="X24" i="21"/>
  <c r="J24" i="21"/>
  <c r="O24" i="21"/>
  <c r="T24" i="21"/>
  <c r="F24" i="21"/>
  <c r="C37" i="21" s="1"/>
  <c r="E63" i="21" s="1"/>
  <c r="D76" i="21" s="1"/>
  <c r="K24" i="21"/>
  <c r="P24" i="21"/>
  <c r="V24" i="21"/>
  <c r="G24" i="21"/>
  <c r="L24" i="21"/>
  <c r="R24" i="21"/>
  <c r="W24" i="21"/>
  <c r="I20" i="21"/>
  <c r="M20" i="21"/>
  <c r="Q20" i="21"/>
  <c r="U20" i="21"/>
  <c r="E20" i="21"/>
  <c r="H20" i="21"/>
  <c r="N20" i="21"/>
  <c r="S20" i="21"/>
  <c r="X20" i="21"/>
  <c r="J20" i="21"/>
  <c r="O20" i="21"/>
  <c r="T20" i="21"/>
  <c r="F20" i="21"/>
  <c r="K20" i="21"/>
  <c r="P20" i="21"/>
  <c r="V20" i="21"/>
  <c r="G20" i="21"/>
  <c r="L20" i="21"/>
  <c r="R20" i="21"/>
  <c r="W20" i="21"/>
  <c r="I16" i="21"/>
  <c r="M16" i="21"/>
  <c r="Q16" i="21"/>
  <c r="U16" i="21"/>
  <c r="F16" i="21"/>
  <c r="J16" i="21"/>
  <c r="N16" i="21"/>
  <c r="R16" i="21"/>
  <c r="V16" i="21"/>
  <c r="L16" i="21"/>
  <c r="T16" i="21"/>
  <c r="G16" i="21"/>
  <c r="O16" i="21"/>
  <c r="W16" i="21"/>
  <c r="E16" i="21"/>
  <c r="H16" i="21"/>
  <c r="P16" i="21"/>
  <c r="X16" i="21"/>
  <c r="K16" i="21"/>
  <c r="S16" i="21"/>
  <c r="I18" i="21"/>
  <c r="M18" i="21"/>
  <c r="Q18" i="21"/>
  <c r="U18" i="21"/>
  <c r="Y18" i="21"/>
  <c r="F18" i="21"/>
  <c r="J18" i="21"/>
  <c r="N18" i="21"/>
  <c r="R18" i="21"/>
  <c r="V18" i="21"/>
  <c r="L18" i="21"/>
  <c r="T18" i="21"/>
  <c r="G18" i="21"/>
  <c r="O18" i="21"/>
  <c r="W18" i="21"/>
  <c r="H18" i="21"/>
  <c r="P18" i="21"/>
  <c r="X18" i="21"/>
  <c r="K18" i="21"/>
  <c r="S18" i="21"/>
  <c r="E18" i="21"/>
  <c r="V141" i="21"/>
  <c r="V89" i="21" s="1"/>
  <c r="T180" i="21"/>
  <c r="U138" i="21"/>
  <c r="U86" i="21" s="1"/>
  <c r="T177" i="21" s="1"/>
  <c r="S149" i="21"/>
  <c r="S84" i="21" s="1"/>
  <c r="R175" i="21" s="1"/>
  <c r="W147" i="21"/>
  <c r="W82" i="21" s="1"/>
  <c r="U173" i="21"/>
  <c r="V93" i="21"/>
  <c r="W107" i="21"/>
  <c r="Y16" i="21" s="1"/>
  <c r="W108" i="21"/>
  <c r="Y4" i="21" s="1"/>
  <c r="V94" i="21"/>
  <c r="W112" i="21"/>
  <c r="Y21" i="21" s="1"/>
  <c r="V98" i="21"/>
  <c r="X110" i="21"/>
  <c r="Z19" i="21" s="1"/>
  <c r="W96" i="21"/>
  <c r="Y113" i="21"/>
  <c r="AA9" i="21" s="1"/>
  <c r="X99" i="21"/>
  <c r="W111" i="21"/>
  <c r="Y7" i="21" s="1"/>
  <c r="V97" i="21"/>
  <c r="W114" i="21"/>
  <c r="Y23" i="21" s="1"/>
  <c r="V100" i="21"/>
  <c r="X109" i="21"/>
  <c r="Z5" i="21" s="1"/>
  <c r="W95" i="21"/>
  <c r="X115" i="21"/>
  <c r="X101" i="21" s="1"/>
  <c r="A52" i="6"/>
  <c r="A40" i="6"/>
  <c r="A47" i="10"/>
  <c r="A49" i="10"/>
  <c r="B28" i="8"/>
  <c r="C70" i="10"/>
  <c r="D70" i="10"/>
  <c r="E70" i="10"/>
  <c r="F70" i="10"/>
  <c r="G70" i="10"/>
  <c r="H70" i="10"/>
  <c r="I70" i="10"/>
  <c r="J70" i="10"/>
  <c r="K70" i="10"/>
  <c r="L70" i="10"/>
  <c r="M70" i="10"/>
  <c r="N70" i="10"/>
  <c r="O70" i="10"/>
  <c r="P70" i="10"/>
  <c r="Q70" i="10"/>
  <c r="R70" i="10"/>
  <c r="S70" i="10"/>
  <c r="T70" i="10"/>
  <c r="U70" i="10"/>
  <c r="V70" i="10"/>
  <c r="W70" i="10"/>
  <c r="X70" i="10"/>
  <c r="Y70" i="10"/>
  <c r="Z70" i="10"/>
  <c r="C69" i="10"/>
  <c r="D69" i="10"/>
  <c r="E69" i="10"/>
  <c r="F69" i="10"/>
  <c r="G69" i="10"/>
  <c r="H69" i="10"/>
  <c r="I69" i="10"/>
  <c r="J69" i="10"/>
  <c r="K69" i="10"/>
  <c r="L69" i="10"/>
  <c r="M69" i="10"/>
  <c r="N69" i="10"/>
  <c r="O69" i="10"/>
  <c r="P69" i="10"/>
  <c r="Q69" i="10"/>
  <c r="R69" i="10"/>
  <c r="S69" i="10"/>
  <c r="T69" i="10"/>
  <c r="U69" i="10"/>
  <c r="V69" i="10"/>
  <c r="W69" i="10"/>
  <c r="X69" i="10"/>
  <c r="Y69" i="10"/>
  <c r="Z69" i="10"/>
  <c r="B70" i="10"/>
  <c r="B69" i="10"/>
  <c r="A60" i="10"/>
  <c r="I2" i="8"/>
  <c r="H2" i="8"/>
  <c r="G2" i="8"/>
  <c r="Q268" i="21" l="1"/>
  <c r="Q129" i="21"/>
  <c r="K268" i="21"/>
  <c r="K129" i="21"/>
  <c r="M268" i="21"/>
  <c r="M129" i="21"/>
  <c r="L268" i="21"/>
  <c r="L129" i="21"/>
  <c r="R268" i="21"/>
  <c r="R129" i="21"/>
  <c r="C268" i="21"/>
  <c r="C129" i="21"/>
  <c r="G268" i="21"/>
  <c r="G129" i="21"/>
  <c r="N268" i="21"/>
  <c r="N129" i="21"/>
  <c r="E268" i="21"/>
  <c r="E129" i="21"/>
  <c r="B268" i="21"/>
  <c r="B129" i="21"/>
  <c r="S129" i="21"/>
  <c r="B260" i="21"/>
  <c r="B121" i="21"/>
  <c r="I260" i="21"/>
  <c r="I121" i="21"/>
  <c r="H268" i="21"/>
  <c r="H129" i="21"/>
  <c r="J268" i="21"/>
  <c r="J129" i="21"/>
  <c r="O268" i="21"/>
  <c r="O129" i="21"/>
  <c r="I268" i="21"/>
  <c r="I129" i="21"/>
  <c r="C260" i="21"/>
  <c r="C121" i="21"/>
  <c r="P268" i="21"/>
  <c r="P129" i="21"/>
  <c r="F268" i="21"/>
  <c r="F129" i="21"/>
  <c r="D268" i="21"/>
  <c r="D129" i="21"/>
  <c r="C267" i="21"/>
  <c r="C128" i="21"/>
  <c r="T129" i="21"/>
  <c r="Q204" i="21"/>
  <c r="O207" i="21"/>
  <c r="R185" i="21"/>
  <c r="Y20" i="21"/>
  <c r="Y17" i="21"/>
  <c r="Y3" i="21"/>
  <c r="Y8" i="21"/>
  <c r="Z6" i="21"/>
  <c r="AA22" i="21"/>
  <c r="Y10" i="21"/>
  <c r="Z11" i="21"/>
  <c r="Z18" i="21"/>
  <c r="Z24" i="21"/>
  <c r="E32" i="21"/>
  <c r="G58" i="21" s="1"/>
  <c r="F71" i="21" s="1"/>
  <c r="C32" i="21"/>
  <c r="E58" i="21" s="1"/>
  <c r="D71" i="21" s="1"/>
  <c r="I32" i="21"/>
  <c r="K58" i="21" s="1"/>
  <c r="J71" i="21" s="1"/>
  <c r="F37" i="21"/>
  <c r="H63" i="21" s="1"/>
  <c r="G76" i="21" s="1"/>
  <c r="D33" i="21"/>
  <c r="F59" i="21" s="1"/>
  <c r="E72" i="21" s="1"/>
  <c r="B33" i="21"/>
  <c r="D59" i="21" s="1"/>
  <c r="C72" i="21" s="1"/>
  <c r="G37" i="21"/>
  <c r="I63" i="21" s="1"/>
  <c r="H76" i="21" s="1"/>
  <c r="G29" i="21"/>
  <c r="I55" i="21" s="1"/>
  <c r="H68" i="21" s="1"/>
  <c r="H34" i="21"/>
  <c r="J60" i="21" s="1"/>
  <c r="I73" i="21" s="1"/>
  <c r="G32" i="21"/>
  <c r="I58" i="21" s="1"/>
  <c r="H71" i="21" s="1"/>
  <c r="X147" i="21"/>
  <c r="X82" i="21" s="1"/>
  <c r="V173" i="21"/>
  <c r="V138" i="21"/>
  <c r="V86" i="21" s="1"/>
  <c r="U177" i="21" s="1"/>
  <c r="T149" i="21"/>
  <c r="T84" i="21" s="1"/>
  <c r="S175" i="21" s="1"/>
  <c r="W141" i="21"/>
  <c r="W89" i="21" s="1"/>
  <c r="U180" i="21"/>
  <c r="G30" i="21"/>
  <c r="I56" i="21" s="1"/>
  <c r="H69" i="21" s="1"/>
  <c r="H32" i="21"/>
  <c r="J58" i="21" s="1"/>
  <c r="I71" i="21" s="1"/>
  <c r="I34" i="21"/>
  <c r="K60" i="21" s="1"/>
  <c r="J73" i="21" s="1"/>
  <c r="Y109" i="21"/>
  <c r="X95" i="21"/>
  <c r="X111" i="21"/>
  <c r="W97" i="21"/>
  <c r="Y110" i="21"/>
  <c r="X96" i="21"/>
  <c r="X108" i="21"/>
  <c r="W94" i="21"/>
  <c r="X114" i="21"/>
  <c r="W100" i="21"/>
  <c r="Z113" i="21"/>
  <c r="Y99" i="21"/>
  <c r="W93" i="21"/>
  <c r="X107" i="21"/>
  <c r="X112" i="21"/>
  <c r="W98" i="21"/>
  <c r="Y115" i="21"/>
  <c r="F33" i="21"/>
  <c r="H59" i="21" s="1"/>
  <c r="G72" i="21" s="1"/>
  <c r="H33" i="21"/>
  <c r="J59" i="21" s="1"/>
  <c r="I72" i="21" s="1"/>
  <c r="C36" i="21"/>
  <c r="E62" i="21" s="1"/>
  <c r="D75" i="21" s="1"/>
  <c r="H37" i="21"/>
  <c r="J63" i="21" s="1"/>
  <c r="I76" i="21" s="1"/>
  <c r="G35" i="21"/>
  <c r="I61" i="21" s="1"/>
  <c r="H74" i="21" s="1"/>
  <c r="I33" i="21"/>
  <c r="K59" i="21" s="1"/>
  <c r="J72" i="21" s="1"/>
  <c r="I29" i="21"/>
  <c r="K55" i="21" s="1"/>
  <c r="J68" i="21" s="1"/>
  <c r="D37" i="21"/>
  <c r="F63" i="21" s="1"/>
  <c r="E76" i="21" s="1"/>
  <c r="E36" i="21"/>
  <c r="G62" i="21" s="1"/>
  <c r="F75" i="21" s="1"/>
  <c r="B32" i="21"/>
  <c r="D58" i="21" s="1"/>
  <c r="C71" i="21" s="1"/>
  <c r="F30" i="21"/>
  <c r="H56" i="21" s="1"/>
  <c r="G69" i="21" s="1"/>
  <c r="G33" i="21"/>
  <c r="I59" i="21" s="1"/>
  <c r="H72" i="21" s="1"/>
  <c r="F32" i="21"/>
  <c r="H58" i="21" s="1"/>
  <c r="G71" i="21" s="1"/>
  <c r="D35" i="21"/>
  <c r="F61" i="21" s="1"/>
  <c r="E74" i="21" s="1"/>
  <c r="I37" i="21"/>
  <c r="K63" i="21" s="1"/>
  <c r="J76" i="21" s="1"/>
  <c r="H30" i="21"/>
  <c r="J56" i="21" s="1"/>
  <c r="I69" i="21" s="1"/>
  <c r="E30" i="21"/>
  <c r="G56" i="21" s="1"/>
  <c r="F69" i="21" s="1"/>
  <c r="H31" i="21"/>
  <c r="J57" i="21" s="1"/>
  <c r="I70" i="21" s="1"/>
  <c r="B37" i="21"/>
  <c r="D63" i="21" s="1"/>
  <c r="C76" i="21" s="1"/>
  <c r="C29" i="21"/>
  <c r="E55" i="21" s="1"/>
  <c r="D68" i="21" s="1"/>
  <c r="E29" i="21"/>
  <c r="G55" i="21" s="1"/>
  <c r="F68" i="21" s="1"/>
  <c r="F36" i="21"/>
  <c r="H62" i="21" s="1"/>
  <c r="G75" i="21" s="1"/>
  <c r="B36" i="21"/>
  <c r="D62" i="21" s="1"/>
  <c r="C75" i="21" s="1"/>
  <c r="H35" i="21"/>
  <c r="J61" i="21" s="1"/>
  <c r="I74" i="21" s="1"/>
  <c r="I35" i="21"/>
  <c r="K61" i="21" s="1"/>
  <c r="J74" i="21" s="1"/>
  <c r="F34" i="21"/>
  <c r="H60" i="21" s="1"/>
  <c r="G73" i="21" s="1"/>
  <c r="E34" i="21"/>
  <c r="G60" i="21" s="1"/>
  <c r="F73" i="21" s="1"/>
  <c r="I31" i="21"/>
  <c r="K57" i="21" s="1"/>
  <c r="J70" i="21" s="1"/>
  <c r="C31" i="21"/>
  <c r="E57" i="21" s="1"/>
  <c r="D70" i="21" s="1"/>
  <c r="C33" i="21"/>
  <c r="E59" i="21" s="1"/>
  <c r="D72" i="21" s="1"/>
  <c r="E37" i="21"/>
  <c r="G63" i="21" s="1"/>
  <c r="F76" i="21" s="1"/>
  <c r="B29" i="21"/>
  <c r="D55" i="21" s="1"/>
  <c r="C68" i="21" s="1"/>
  <c r="F29" i="21"/>
  <c r="H55" i="21" s="1"/>
  <c r="G68" i="21" s="1"/>
  <c r="H36" i="21"/>
  <c r="J62" i="21" s="1"/>
  <c r="I75" i="21" s="1"/>
  <c r="I36" i="21"/>
  <c r="K62" i="21" s="1"/>
  <c r="J75" i="21" s="1"/>
  <c r="E35" i="21"/>
  <c r="G61" i="21" s="1"/>
  <c r="F74" i="21" s="1"/>
  <c r="C35" i="21"/>
  <c r="E61" i="21" s="1"/>
  <c r="D74" i="21" s="1"/>
  <c r="G34" i="21"/>
  <c r="I60" i="21" s="1"/>
  <c r="H73" i="21" s="1"/>
  <c r="D34" i="21"/>
  <c r="F60" i="21" s="1"/>
  <c r="E73" i="21" s="1"/>
  <c r="E31" i="21"/>
  <c r="G57" i="21" s="1"/>
  <c r="F70" i="21" s="1"/>
  <c r="G31" i="21"/>
  <c r="I57" i="21" s="1"/>
  <c r="H70" i="21" s="1"/>
  <c r="B31" i="21"/>
  <c r="D57" i="21" s="1"/>
  <c r="C70" i="21" s="1"/>
  <c r="E33" i="21"/>
  <c r="G59" i="21" s="1"/>
  <c r="F72" i="21" s="1"/>
  <c r="H29" i="21"/>
  <c r="J55" i="21" s="1"/>
  <c r="I68" i="21" s="1"/>
  <c r="D29" i="21"/>
  <c r="F55" i="21" s="1"/>
  <c r="E68" i="21" s="1"/>
  <c r="D32" i="21"/>
  <c r="F58" i="21" s="1"/>
  <c r="E71" i="21" s="1"/>
  <c r="D30" i="21"/>
  <c r="F56" i="21" s="1"/>
  <c r="E69" i="21" s="1"/>
  <c r="G36" i="21"/>
  <c r="I62" i="21" s="1"/>
  <c r="H75" i="21" s="1"/>
  <c r="D36" i="21"/>
  <c r="F62" i="21" s="1"/>
  <c r="E75" i="21" s="1"/>
  <c r="B35" i="21"/>
  <c r="D61" i="21" s="1"/>
  <c r="C74" i="21" s="1"/>
  <c r="F35" i="21"/>
  <c r="H61" i="21" s="1"/>
  <c r="G74" i="21" s="1"/>
  <c r="B34" i="21"/>
  <c r="D60" i="21" s="1"/>
  <c r="C73" i="21" s="1"/>
  <c r="C34" i="21"/>
  <c r="E60" i="21" s="1"/>
  <c r="D73" i="21" s="1"/>
  <c r="F31" i="21"/>
  <c r="H57" i="21" s="1"/>
  <c r="G70" i="21" s="1"/>
  <c r="D31" i="21"/>
  <c r="F57" i="21" s="1"/>
  <c r="E70" i="21" s="1"/>
  <c r="C60" i="10"/>
  <c r="C64" i="10" s="1"/>
  <c r="B73" i="10"/>
  <c r="A64" i="10"/>
  <c r="A68" i="10" s="1"/>
  <c r="A79" i="10" s="1"/>
  <c r="A80" i="10" s="1"/>
  <c r="F2" i="8"/>
  <c r="A46" i="10"/>
  <c r="A45" i="10"/>
  <c r="C16" i="12"/>
  <c r="D16" i="12"/>
  <c r="E16" i="12"/>
  <c r="F16" i="12"/>
  <c r="G16" i="12"/>
  <c r="H16" i="12"/>
  <c r="I16" i="12"/>
  <c r="J16" i="12"/>
  <c r="K16" i="12"/>
  <c r="C17" i="12"/>
  <c r="D17" i="12"/>
  <c r="E17" i="12"/>
  <c r="F17" i="12"/>
  <c r="G17" i="12"/>
  <c r="H17" i="12"/>
  <c r="I17" i="12"/>
  <c r="C18" i="12"/>
  <c r="D18" i="12"/>
  <c r="E18" i="12"/>
  <c r="F18" i="12"/>
  <c r="G18" i="12"/>
  <c r="C19" i="12"/>
  <c r="D19" i="12"/>
  <c r="E19" i="12"/>
  <c r="F19" i="12"/>
  <c r="G19" i="12"/>
  <c r="H19" i="12"/>
  <c r="I19" i="12"/>
  <c r="J19" i="12"/>
  <c r="C20" i="12"/>
  <c r="D20" i="12"/>
  <c r="E20" i="12"/>
  <c r="F20" i="12"/>
  <c r="G20" i="12"/>
  <c r="H20" i="12"/>
  <c r="C21" i="12"/>
  <c r="D21" i="12"/>
  <c r="E21" i="12"/>
  <c r="F21" i="12"/>
  <c r="G21" i="12"/>
  <c r="H21" i="12"/>
  <c r="I21" i="12"/>
  <c r="J21" i="12"/>
  <c r="K21" i="12"/>
  <c r="L21" i="12"/>
  <c r="M21" i="12"/>
  <c r="N21" i="12"/>
  <c r="O21" i="12"/>
  <c r="P21" i="12"/>
  <c r="Q21" i="12"/>
  <c r="R21" i="12"/>
  <c r="S21" i="12"/>
  <c r="T21" i="12"/>
  <c r="U21" i="12"/>
  <c r="V21" i="12"/>
  <c r="W21" i="12"/>
  <c r="X21" i="12"/>
  <c r="Y21" i="12"/>
  <c r="Z21" i="12"/>
  <c r="AA21" i="12"/>
  <c r="C22" i="12"/>
  <c r="D22" i="12"/>
  <c r="E22" i="12"/>
  <c r="F22" i="12"/>
  <c r="G22" i="12"/>
  <c r="H22" i="12"/>
  <c r="I22" i="12"/>
  <c r="C23" i="12"/>
  <c r="D23" i="12"/>
  <c r="E23" i="12"/>
  <c r="F23" i="12"/>
  <c r="G23" i="12"/>
  <c r="H23" i="12"/>
  <c r="I23" i="12"/>
  <c r="D15" i="12"/>
  <c r="E15" i="12"/>
  <c r="F15" i="12"/>
  <c r="G15" i="12"/>
  <c r="H15" i="12"/>
  <c r="I15" i="12"/>
  <c r="J15" i="12"/>
  <c r="K15" i="12"/>
  <c r="C15" i="12"/>
  <c r="F11" i="8"/>
  <c r="B17" i="8"/>
  <c r="B19" i="8"/>
  <c r="B16" i="8"/>
  <c r="F265" i="21" l="1"/>
  <c r="F126" i="21"/>
  <c r="D260" i="21"/>
  <c r="D121" i="21"/>
  <c r="D264" i="21"/>
  <c r="D125" i="21"/>
  <c r="E264" i="21"/>
  <c r="E125" i="21"/>
  <c r="F260" i="21"/>
  <c r="F121" i="21"/>
  <c r="I264" i="21"/>
  <c r="I125" i="21"/>
  <c r="I262" i="21"/>
  <c r="I123" i="21"/>
  <c r="B265" i="21"/>
  <c r="B126" i="21"/>
  <c r="D262" i="21"/>
  <c r="D123" i="21"/>
  <c r="G264" i="21"/>
  <c r="G125" i="21"/>
  <c r="F264" i="21"/>
  <c r="F125" i="21"/>
  <c r="D265" i="21"/>
  <c r="D126" i="21"/>
  <c r="B262" i="21"/>
  <c r="B123" i="21"/>
  <c r="H262" i="21"/>
  <c r="H123" i="21"/>
  <c r="G262" i="21"/>
  <c r="G123" i="21"/>
  <c r="C262" i="21"/>
  <c r="C123" i="21"/>
  <c r="C264" i="21"/>
  <c r="C125" i="21"/>
  <c r="C265" i="21"/>
  <c r="C126" i="21"/>
  <c r="I265" i="21"/>
  <c r="I126" i="21"/>
  <c r="E260" i="21"/>
  <c r="E121" i="21"/>
  <c r="F262" i="21"/>
  <c r="F123" i="21"/>
  <c r="G265" i="21"/>
  <c r="G126" i="21"/>
  <c r="G260" i="21"/>
  <c r="G121" i="21"/>
  <c r="H264" i="21"/>
  <c r="H125" i="21"/>
  <c r="E262" i="21"/>
  <c r="E123" i="21"/>
  <c r="B264" i="21"/>
  <c r="B125" i="21"/>
  <c r="E265" i="21"/>
  <c r="E126" i="21"/>
  <c r="H265" i="21"/>
  <c r="H126" i="21"/>
  <c r="H260" i="21"/>
  <c r="H121" i="21"/>
  <c r="D266" i="21"/>
  <c r="D127" i="21"/>
  <c r="G266" i="21"/>
  <c r="G127" i="21"/>
  <c r="H259" i="21"/>
  <c r="H120" i="21"/>
  <c r="E261" i="21"/>
  <c r="E122" i="21"/>
  <c r="B259" i="21"/>
  <c r="B120" i="21"/>
  <c r="I261" i="21"/>
  <c r="I122" i="21"/>
  <c r="C259" i="21"/>
  <c r="C120" i="21"/>
  <c r="G263" i="21"/>
  <c r="G124" i="21"/>
  <c r="D267" i="21"/>
  <c r="D128" i="21"/>
  <c r="H267" i="21"/>
  <c r="H128" i="21"/>
  <c r="G259" i="21"/>
  <c r="G120" i="21"/>
  <c r="F267" i="21"/>
  <c r="F128" i="21"/>
  <c r="D261" i="21"/>
  <c r="D122" i="21"/>
  <c r="E263" i="21"/>
  <c r="E124" i="21"/>
  <c r="I266" i="21"/>
  <c r="I127" i="21"/>
  <c r="E267" i="21"/>
  <c r="E128" i="21"/>
  <c r="B266" i="21"/>
  <c r="B127" i="21"/>
  <c r="B267" i="21"/>
  <c r="B128" i="21"/>
  <c r="I267" i="21"/>
  <c r="I128" i="21"/>
  <c r="I259" i="21"/>
  <c r="I120" i="21"/>
  <c r="C266" i="21"/>
  <c r="C127" i="21"/>
  <c r="G267" i="21"/>
  <c r="G128" i="21"/>
  <c r="F261" i="21"/>
  <c r="F122" i="21"/>
  <c r="B261" i="21"/>
  <c r="B122" i="21"/>
  <c r="H266" i="21"/>
  <c r="H127" i="21"/>
  <c r="C263" i="21"/>
  <c r="C124" i="21"/>
  <c r="F266" i="21"/>
  <c r="F127" i="21"/>
  <c r="H261" i="21"/>
  <c r="H122" i="21"/>
  <c r="I263" i="21"/>
  <c r="I124" i="21"/>
  <c r="H263" i="21"/>
  <c r="H124" i="21"/>
  <c r="B263" i="21"/>
  <c r="B124" i="21"/>
  <c r="D259" i="21"/>
  <c r="D120" i="21"/>
  <c r="G261" i="21"/>
  <c r="G122" i="21"/>
  <c r="F259" i="21"/>
  <c r="F120" i="21"/>
  <c r="C261" i="21"/>
  <c r="C122" i="21"/>
  <c r="E259" i="21"/>
  <c r="E120" i="21"/>
  <c r="E266" i="21"/>
  <c r="E127" i="21"/>
  <c r="F263" i="21"/>
  <c r="F124" i="21"/>
  <c r="D263" i="21"/>
  <c r="D124" i="21"/>
  <c r="U129" i="21"/>
  <c r="R204" i="21"/>
  <c r="P207" i="21"/>
  <c r="S185" i="21"/>
  <c r="Y101" i="21"/>
  <c r="AA11" i="21"/>
  <c r="AA24" i="21"/>
  <c r="Z23" i="21"/>
  <c r="Z10" i="21"/>
  <c r="AA6" i="21"/>
  <c r="AA19" i="21"/>
  <c r="AA18" i="21"/>
  <c r="AA5" i="21"/>
  <c r="Z21" i="21"/>
  <c r="Z8" i="21"/>
  <c r="AB22" i="21"/>
  <c r="AB9" i="21"/>
  <c r="Z4" i="21"/>
  <c r="Z17" i="21"/>
  <c r="Z7" i="21"/>
  <c r="Z20" i="21"/>
  <c r="Z3" i="21"/>
  <c r="Z16" i="21"/>
  <c r="X141" i="21"/>
  <c r="X89" i="21" s="1"/>
  <c r="V180" i="21"/>
  <c r="W138" i="21"/>
  <c r="W86" i="21" s="1"/>
  <c r="V177" i="21" s="1"/>
  <c r="U149" i="21"/>
  <c r="U84" i="21" s="1"/>
  <c r="T175" i="21" s="1"/>
  <c r="Y147" i="21"/>
  <c r="Y82" i="21" s="1"/>
  <c r="W173" i="21"/>
  <c r="AA113" i="21"/>
  <c r="Z99" i="21"/>
  <c r="Y108" i="21"/>
  <c r="X94" i="21"/>
  <c r="Y111" i="21"/>
  <c r="X97" i="21"/>
  <c r="X93" i="21"/>
  <c r="Y107" i="21"/>
  <c r="Y114" i="21"/>
  <c r="X100" i="21"/>
  <c r="Z110" i="21"/>
  <c r="Y96" i="21"/>
  <c r="Z109" i="21"/>
  <c r="Y95" i="21"/>
  <c r="Y112" i="21"/>
  <c r="X98" i="21"/>
  <c r="Z115" i="21"/>
  <c r="B34" i="6"/>
  <c r="J20" i="6" s="1"/>
  <c r="B39" i="6"/>
  <c r="J25" i="6" s="1"/>
  <c r="B35" i="6"/>
  <c r="J21" i="6" s="1"/>
  <c r="B38" i="6"/>
  <c r="J24" i="6" s="1"/>
  <c r="B37" i="6"/>
  <c r="J23" i="6" s="1"/>
  <c r="B32" i="6"/>
  <c r="J18" i="6" s="1"/>
  <c r="B31" i="6"/>
  <c r="J17" i="6" s="1"/>
  <c r="B40" i="6"/>
  <c r="B36" i="6"/>
  <c r="J22" i="6" s="1"/>
  <c r="B33" i="6"/>
  <c r="J19" i="6" s="1"/>
  <c r="B98" i="10"/>
  <c r="A48" i="10"/>
  <c r="A88" i="10"/>
  <c r="O2" i="18"/>
  <c r="C9" i="17" s="1"/>
  <c r="B12" i="12"/>
  <c r="B24" i="12" s="1"/>
  <c r="B38" i="12" s="1"/>
  <c r="B52" i="12" s="1"/>
  <c r="O6" i="18"/>
  <c r="C14" i="17" s="1"/>
  <c r="B11" i="12"/>
  <c r="J11" i="12" s="1"/>
  <c r="B5" i="12"/>
  <c r="B8" i="12"/>
  <c r="B7" i="12"/>
  <c r="B3" i="12"/>
  <c r="B4" i="12"/>
  <c r="B10" i="12"/>
  <c r="B6" i="12"/>
  <c r="B9" i="12"/>
  <c r="V129" i="21" l="1"/>
  <c r="S204" i="21"/>
  <c r="Q207" i="21"/>
  <c r="T185" i="21"/>
  <c r="Z101" i="21"/>
  <c r="AB11" i="21"/>
  <c r="AB24" i="21"/>
  <c r="AB5" i="21"/>
  <c r="AB18" i="21"/>
  <c r="AA10" i="21"/>
  <c r="AA23" i="21"/>
  <c r="AA20" i="21"/>
  <c r="AA7" i="21"/>
  <c r="AC22" i="21"/>
  <c r="AC9" i="21"/>
  <c r="AA16" i="21"/>
  <c r="AA3" i="21"/>
  <c r="AA8" i="21"/>
  <c r="AA21" i="21"/>
  <c r="AB19" i="21"/>
  <c r="AB6" i="21"/>
  <c r="AA4" i="21"/>
  <c r="AA17" i="21"/>
  <c r="Z147" i="21"/>
  <c r="Z82" i="21" s="1"/>
  <c r="X173" i="21"/>
  <c r="X138" i="21"/>
  <c r="X86" i="21" s="1"/>
  <c r="W177" i="21" s="1"/>
  <c r="V149" i="21"/>
  <c r="V84" i="21" s="1"/>
  <c r="U175" i="21" s="1"/>
  <c r="Y141" i="21"/>
  <c r="Y89" i="21" s="1"/>
  <c r="W180" i="21"/>
  <c r="Y93" i="21"/>
  <c r="Z107" i="21"/>
  <c r="Z112" i="21"/>
  <c r="Y98" i="21"/>
  <c r="AA109" i="21"/>
  <c r="Z95" i="21"/>
  <c r="AA110" i="21"/>
  <c r="Z96" i="21"/>
  <c r="Z114" i="21"/>
  <c r="Y100" i="21"/>
  <c r="Z111" i="21"/>
  <c r="Y97" i="21"/>
  <c r="Z108" i="21"/>
  <c r="Y94" i="21"/>
  <c r="AA99" i="21"/>
  <c r="AA115" i="21"/>
  <c r="K24" i="6"/>
  <c r="K22" i="6"/>
  <c r="K23" i="6"/>
  <c r="K17" i="6"/>
  <c r="K21" i="6"/>
  <c r="K19" i="6"/>
  <c r="K18" i="6"/>
  <c r="K25" i="6"/>
  <c r="K20" i="6"/>
  <c r="K11" i="12"/>
  <c r="L13" i="18"/>
  <c r="B23" i="12"/>
  <c r="L4" i="12"/>
  <c r="B16" i="12"/>
  <c r="J5" i="12"/>
  <c r="K5" i="12" s="1"/>
  <c r="L5" i="12" s="1"/>
  <c r="M5" i="12" s="1"/>
  <c r="N5" i="12" s="1"/>
  <c r="O5" i="12" s="1"/>
  <c r="P5" i="12" s="1"/>
  <c r="Q5" i="12" s="1"/>
  <c r="R5" i="12" s="1"/>
  <c r="S5" i="12" s="1"/>
  <c r="T5" i="12" s="1"/>
  <c r="U5" i="12" s="1"/>
  <c r="V5" i="12" s="1"/>
  <c r="W5" i="12" s="1"/>
  <c r="X5" i="12" s="1"/>
  <c r="Y5" i="12" s="1"/>
  <c r="Z5" i="12" s="1"/>
  <c r="AA5" i="12" s="1"/>
  <c r="B17" i="12"/>
  <c r="I9" i="12"/>
  <c r="J9" i="12" s="1"/>
  <c r="K9" i="12" s="1"/>
  <c r="L9" i="12" s="1"/>
  <c r="M9" i="12" s="1"/>
  <c r="N9" i="12" s="1"/>
  <c r="O9" i="12" s="1"/>
  <c r="P9" i="12" s="1"/>
  <c r="Q9" i="12" s="1"/>
  <c r="R9" i="12" s="1"/>
  <c r="S9" i="12" s="1"/>
  <c r="T9" i="12" s="1"/>
  <c r="U9" i="12" s="1"/>
  <c r="V9" i="12" s="1"/>
  <c r="W9" i="12" s="1"/>
  <c r="X9" i="12" s="1"/>
  <c r="Y9" i="12" s="1"/>
  <c r="Z9" i="12" s="1"/>
  <c r="AA9" i="12" s="1"/>
  <c r="B21" i="12"/>
  <c r="B35" i="12" s="1"/>
  <c r="L3" i="12"/>
  <c r="M3" i="12" s="1"/>
  <c r="N3" i="12" s="1"/>
  <c r="O3" i="12" s="1"/>
  <c r="P3" i="12" s="1"/>
  <c r="Q3" i="12" s="1"/>
  <c r="R3" i="12" s="1"/>
  <c r="S3" i="12" s="1"/>
  <c r="T3" i="12" s="1"/>
  <c r="U3" i="12" s="1"/>
  <c r="V3" i="12" s="1"/>
  <c r="W3" i="12" s="1"/>
  <c r="X3" i="12" s="1"/>
  <c r="Y3" i="12" s="1"/>
  <c r="Z3" i="12" s="1"/>
  <c r="AA3" i="12" s="1"/>
  <c r="B15" i="12"/>
  <c r="H6" i="12"/>
  <c r="B18" i="12"/>
  <c r="K7" i="12"/>
  <c r="L7" i="12" s="1"/>
  <c r="M7" i="12" s="1"/>
  <c r="N7" i="12" s="1"/>
  <c r="O7" i="12" s="1"/>
  <c r="P7" i="12" s="1"/>
  <c r="Q7" i="12" s="1"/>
  <c r="R7" i="12" s="1"/>
  <c r="S7" i="12" s="1"/>
  <c r="T7" i="12" s="1"/>
  <c r="U7" i="12" s="1"/>
  <c r="V7" i="12" s="1"/>
  <c r="W7" i="12" s="1"/>
  <c r="X7" i="12" s="1"/>
  <c r="Y7" i="12" s="1"/>
  <c r="Z7" i="12" s="1"/>
  <c r="AA7" i="12" s="1"/>
  <c r="B19" i="12"/>
  <c r="J10" i="12"/>
  <c r="B22" i="12"/>
  <c r="I8" i="12"/>
  <c r="B20" i="12"/>
  <c r="W129" i="21" l="1"/>
  <c r="T204" i="21"/>
  <c r="R207" i="21"/>
  <c r="U185" i="21"/>
  <c r="AB4" i="21"/>
  <c r="AB17" i="21"/>
  <c r="AB23" i="21"/>
  <c r="AB10" i="21"/>
  <c r="AC5" i="21"/>
  <c r="AC18" i="21"/>
  <c r="AA101" i="21"/>
  <c r="AC11" i="21"/>
  <c r="AC24" i="21"/>
  <c r="AB7" i="21"/>
  <c r="AB20" i="21"/>
  <c r="AC6" i="21"/>
  <c r="AC19" i="21"/>
  <c r="AB21" i="21"/>
  <c r="AB8" i="21"/>
  <c r="AB3" i="21"/>
  <c r="AB16" i="21"/>
  <c r="Z141" i="21"/>
  <c r="Z89" i="21" s="1"/>
  <c r="X180" i="21"/>
  <c r="Y138" i="21"/>
  <c r="Y86" i="21" s="1"/>
  <c r="X177" i="21" s="1"/>
  <c r="W149" i="21"/>
  <c r="W84" i="21" s="1"/>
  <c r="V175" i="21" s="1"/>
  <c r="AA147" i="21"/>
  <c r="Y173" i="21"/>
  <c r="Z93" i="21"/>
  <c r="AA107" i="21"/>
  <c r="AA108" i="21"/>
  <c r="Z94" i="21"/>
  <c r="AA111" i="21"/>
  <c r="Z97" i="21"/>
  <c r="AA114" i="21"/>
  <c r="Z100" i="21"/>
  <c r="AA96" i="21"/>
  <c r="AA95" i="21"/>
  <c r="AA112" i="21"/>
  <c r="Z98" i="21"/>
  <c r="J31" i="21"/>
  <c r="L57" i="21" s="1"/>
  <c r="K70" i="21" s="1"/>
  <c r="J34" i="21"/>
  <c r="L60" i="21" s="1"/>
  <c r="K73" i="21" s="1"/>
  <c r="J22" i="12"/>
  <c r="K22" i="12" s="1"/>
  <c r="B36" i="12"/>
  <c r="B49" i="12"/>
  <c r="I49" i="12" s="1"/>
  <c r="J49" i="12" s="1"/>
  <c r="K49" i="12" s="1"/>
  <c r="L49" i="12" s="1"/>
  <c r="M49" i="12" s="1"/>
  <c r="N49" i="12" s="1"/>
  <c r="O49" i="12" s="1"/>
  <c r="P49" i="12" s="1"/>
  <c r="Q49" i="12" s="1"/>
  <c r="R49" i="12" s="1"/>
  <c r="S49" i="12" s="1"/>
  <c r="T49" i="12" s="1"/>
  <c r="U49" i="12" s="1"/>
  <c r="V49" i="12" s="1"/>
  <c r="W49" i="12" s="1"/>
  <c r="X49" i="12" s="1"/>
  <c r="Y49" i="12" s="1"/>
  <c r="Z49" i="12" s="1"/>
  <c r="AA49" i="12" s="1"/>
  <c r="I35" i="12"/>
  <c r="L16" i="12"/>
  <c r="B30" i="12"/>
  <c r="H18" i="12"/>
  <c r="I18" i="12" s="1"/>
  <c r="B32" i="12"/>
  <c r="I20" i="12"/>
  <c r="J20" i="12" s="1"/>
  <c r="B34" i="12"/>
  <c r="K19" i="12"/>
  <c r="B33" i="12"/>
  <c r="L15" i="12"/>
  <c r="B29" i="12"/>
  <c r="J17" i="12"/>
  <c r="B31" i="12"/>
  <c r="J23" i="12"/>
  <c r="B37" i="12"/>
  <c r="J37" i="21"/>
  <c r="L63" i="21" s="1"/>
  <c r="K76" i="21" s="1"/>
  <c r="J29" i="21"/>
  <c r="L55" i="21" s="1"/>
  <c r="K68" i="21" s="1"/>
  <c r="J36" i="21"/>
  <c r="L62" i="21" s="1"/>
  <c r="K75" i="21" s="1"/>
  <c r="G3" i="10"/>
  <c r="G101" i="10"/>
  <c r="L19" i="6"/>
  <c r="J32" i="21"/>
  <c r="L58" i="21" s="1"/>
  <c r="K71" i="21" s="1"/>
  <c r="L18" i="6"/>
  <c r="J33" i="21"/>
  <c r="L59" i="21" s="1"/>
  <c r="K72" i="21" s="1"/>
  <c r="L23" i="6"/>
  <c r="L25" i="6"/>
  <c r="L17" i="6"/>
  <c r="L20" i="6"/>
  <c r="J30" i="21"/>
  <c r="L56" i="21" s="1"/>
  <c r="K69" i="21" s="1"/>
  <c r="L21" i="6"/>
  <c r="J35" i="21"/>
  <c r="L61" i="21" s="1"/>
  <c r="K74" i="21" s="1"/>
  <c r="L22" i="6"/>
  <c r="L24" i="6"/>
  <c r="H6" i="10"/>
  <c r="H104" i="10"/>
  <c r="G5" i="10"/>
  <c r="G103" i="10"/>
  <c r="K10" i="12"/>
  <c r="G102" i="10"/>
  <c r="G4" i="10"/>
  <c r="J8" i="12"/>
  <c r="I6" i="10" s="1"/>
  <c r="M4" i="12"/>
  <c r="I6" i="12"/>
  <c r="H103" i="10" s="1"/>
  <c r="L11" i="12"/>
  <c r="K13" i="18"/>
  <c r="M25" i="17"/>
  <c r="L19" i="12"/>
  <c r="C4" i="13"/>
  <c r="C5" i="13"/>
  <c r="C6" i="13"/>
  <c r="C3" i="13"/>
  <c r="E3" i="13"/>
  <c r="E4" i="13"/>
  <c r="E5" i="13"/>
  <c r="E6" i="13"/>
  <c r="D4" i="13"/>
  <c r="D5" i="13"/>
  <c r="D6" i="13"/>
  <c r="D3" i="13"/>
  <c r="D2" i="13"/>
  <c r="E2" i="13"/>
  <c r="C2" i="13"/>
  <c r="A8" i="13"/>
  <c r="F8" i="13"/>
  <c r="G8" i="13"/>
  <c r="I8" i="13"/>
  <c r="B3" i="13"/>
  <c r="B4" i="13"/>
  <c r="B5" i="13"/>
  <c r="B6" i="13"/>
  <c r="B2" i="13"/>
  <c r="J265" i="21" l="1"/>
  <c r="J126" i="21"/>
  <c r="J262" i="21"/>
  <c r="J123" i="21"/>
  <c r="J260" i="21"/>
  <c r="J121" i="21"/>
  <c r="J264" i="21"/>
  <c r="J125" i="21"/>
  <c r="J267" i="21"/>
  <c r="J128" i="21"/>
  <c r="J261" i="21"/>
  <c r="J122" i="21"/>
  <c r="J263" i="21"/>
  <c r="J124" i="21"/>
  <c r="J266" i="21"/>
  <c r="J127" i="21"/>
  <c r="J259" i="21"/>
  <c r="J120" i="21"/>
  <c r="X129" i="21"/>
  <c r="U204" i="21"/>
  <c r="S207" i="21"/>
  <c r="V185" i="21"/>
  <c r="AA82" i="21"/>
  <c r="Z173" i="21" s="1"/>
  <c r="AC8" i="21"/>
  <c r="AC21" i="21"/>
  <c r="AC10" i="21"/>
  <c r="AC23" i="21"/>
  <c r="AC17" i="21"/>
  <c r="AC4" i="21"/>
  <c r="AC20" i="21"/>
  <c r="AC7" i="21"/>
  <c r="AC3" i="21"/>
  <c r="AC16" i="21"/>
  <c r="Z138" i="21"/>
  <c r="Z86" i="21" s="1"/>
  <c r="Y177" i="21" s="1"/>
  <c r="X149" i="21"/>
  <c r="X84" i="21" s="1"/>
  <c r="W175" i="21" s="1"/>
  <c r="AA141" i="21"/>
  <c r="Y180" i="21"/>
  <c r="AA98" i="21"/>
  <c r="AA93" i="21"/>
  <c r="AA100" i="21"/>
  <c r="AA97" i="21"/>
  <c r="AA94" i="21"/>
  <c r="M15" i="12"/>
  <c r="N15" i="12" s="1"/>
  <c r="B51" i="12"/>
  <c r="J51" i="12" s="1"/>
  <c r="K51" i="12" s="1"/>
  <c r="L51" i="12" s="1"/>
  <c r="M51" i="12" s="1"/>
  <c r="N51" i="12" s="1"/>
  <c r="O51" i="12" s="1"/>
  <c r="P51" i="12" s="1"/>
  <c r="Q51" i="12" s="1"/>
  <c r="R51" i="12" s="1"/>
  <c r="S51" i="12" s="1"/>
  <c r="T51" i="12" s="1"/>
  <c r="U51" i="12" s="1"/>
  <c r="V51" i="12" s="1"/>
  <c r="W51" i="12" s="1"/>
  <c r="X51" i="12" s="1"/>
  <c r="Y51" i="12" s="1"/>
  <c r="Z51" i="12" s="1"/>
  <c r="AA51" i="12" s="1"/>
  <c r="B48" i="12"/>
  <c r="I48" i="12" s="1"/>
  <c r="J48" i="12" s="1"/>
  <c r="K48" i="12" s="1"/>
  <c r="L48" i="12" s="1"/>
  <c r="M48" i="12" s="1"/>
  <c r="N48" i="12" s="1"/>
  <c r="O48" i="12" s="1"/>
  <c r="P48" i="12" s="1"/>
  <c r="Q48" i="12" s="1"/>
  <c r="R48" i="12" s="1"/>
  <c r="S48" i="12" s="1"/>
  <c r="T48" i="12" s="1"/>
  <c r="U48" i="12" s="1"/>
  <c r="V48" i="12" s="1"/>
  <c r="W48" i="12" s="1"/>
  <c r="X48" i="12" s="1"/>
  <c r="Y48" i="12" s="1"/>
  <c r="Z48" i="12" s="1"/>
  <c r="AA48" i="12" s="1"/>
  <c r="K17" i="12"/>
  <c r="K23" i="12"/>
  <c r="M16" i="12"/>
  <c r="J35" i="12"/>
  <c r="J31" i="12"/>
  <c r="K31" i="12" s="1"/>
  <c r="L31" i="12" s="1"/>
  <c r="M31" i="12" s="1"/>
  <c r="N31" i="12" s="1"/>
  <c r="O31" i="12" s="1"/>
  <c r="P31" i="12" s="1"/>
  <c r="Q31" i="12" s="1"/>
  <c r="R31" i="12" s="1"/>
  <c r="S31" i="12" s="1"/>
  <c r="T31" i="12" s="1"/>
  <c r="U31" i="12" s="1"/>
  <c r="V31" i="12" s="1"/>
  <c r="W31" i="12" s="1"/>
  <c r="X31" i="12" s="1"/>
  <c r="Y31" i="12" s="1"/>
  <c r="Z31" i="12" s="1"/>
  <c r="AA31" i="12" s="1"/>
  <c r="B45" i="12"/>
  <c r="J45" i="12" s="1"/>
  <c r="K45" i="12" s="1"/>
  <c r="L45" i="12" s="1"/>
  <c r="M45" i="12" s="1"/>
  <c r="N45" i="12" s="1"/>
  <c r="O45" i="12" s="1"/>
  <c r="P45" i="12" s="1"/>
  <c r="Q45" i="12" s="1"/>
  <c r="R45" i="12" s="1"/>
  <c r="S45" i="12" s="1"/>
  <c r="T45" i="12" s="1"/>
  <c r="U45" i="12" s="1"/>
  <c r="V45" i="12" s="1"/>
  <c r="W45" i="12" s="1"/>
  <c r="X45" i="12" s="1"/>
  <c r="Y45" i="12" s="1"/>
  <c r="Z45" i="12" s="1"/>
  <c r="AA45" i="12" s="1"/>
  <c r="K33" i="12"/>
  <c r="L33" i="12" s="1"/>
  <c r="M33" i="12" s="1"/>
  <c r="N33" i="12" s="1"/>
  <c r="O33" i="12" s="1"/>
  <c r="P33" i="12" s="1"/>
  <c r="Q33" i="12" s="1"/>
  <c r="R33" i="12" s="1"/>
  <c r="S33" i="12" s="1"/>
  <c r="T33" i="12" s="1"/>
  <c r="U33" i="12" s="1"/>
  <c r="V33" i="12" s="1"/>
  <c r="W33" i="12" s="1"/>
  <c r="X33" i="12" s="1"/>
  <c r="Y33" i="12" s="1"/>
  <c r="Z33" i="12" s="1"/>
  <c r="AA33" i="12" s="1"/>
  <c r="B47" i="12"/>
  <c r="K47" i="12" s="1"/>
  <c r="H32" i="12"/>
  <c r="I32" i="12" s="1"/>
  <c r="J32" i="12" s="1"/>
  <c r="K32" i="12" s="1"/>
  <c r="L32" i="12" s="1"/>
  <c r="M32" i="12" s="1"/>
  <c r="N32" i="12" s="1"/>
  <c r="O32" i="12" s="1"/>
  <c r="P32" i="12" s="1"/>
  <c r="Q32" i="12" s="1"/>
  <c r="R32" i="12" s="1"/>
  <c r="S32" i="12" s="1"/>
  <c r="T32" i="12" s="1"/>
  <c r="U32" i="12" s="1"/>
  <c r="V32" i="12" s="1"/>
  <c r="W32" i="12" s="1"/>
  <c r="X32" i="12" s="1"/>
  <c r="Y32" i="12" s="1"/>
  <c r="Z32" i="12" s="1"/>
  <c r="AA32" i="12" s="1"/>
  <c r="B46" i="12"/>
  <c r="H46" i="12" s="1"/>
  <c r="I46" i="12" s="1"/>
  <c r="J46" i="12" s="1"/>
  <c r="K46" i="12" s="1"/>
  <c r="L46" i="12" s="1"/>
  <c r="M46" i="12" s="1"/>
  <c r="N46" i="12" s="1"/>
  <c r="O46" i="12" s="1"/>
  <c r="P46" i="12" s="1"/>
  <c r="Q46" i="12" s="1"/>
  <c r="R46" i="12" s="1"/>
  <c r="S46" i="12" s="1"/>
  <c r="T46" i="12" s="1"/>
  <c r="U46" i="12" s="1"/>
  <c r="V46" i="12" s="1"/>
  <c r="W46" i="12" s="1"/>
  <c r="X46" i="12" s="1"/>
  <c r="Y46" i="12" s="1"/>
  <c r="Z46" i="12" s="1"/>
  <c r="AA46" i="12" s="1"/>
  <c r="B43" i="12"/>
  <c r="L43" i="12" s="1"/>
  <c r="M43" i="12" s="1"/>
  <c r="N43" i="12" s="1"/>
  <c r="O43" i="12" s="1"/>
  <c r="P43" i="12" s="1"/>
  <c r="Q43" i="12" s="1"/>
  <c r="R43" i="12" s="1"/>
  <c r="S43" i="12" s="1"/>
  <c r="T43" i="12" s="1"/>
  <c r="U43" i="12" s="1"/>
  <c r="V43" i="12" s="1"/>
  <c r="W43" i="12" s="1"/>
  <c r="X43" i="12" s="1"/>
  <c r="Y43" i="12" s="1"/>
  <c r="Z43" i="12" s="1"/>
  <c r="AA43" i="12" s="1"/>
  <c r="L29" i="12"/>
  <c r="M29" i="12" s="1"/>
  <c r="N29" i="12" s="1"/>
  <c r="O29" i="12" s="1"/>
  <c r="P29" i="12" s="1"/>
  <c r="Q29" i="12" s="1"/>
  <c r="R29" i="12" s="1"/>
  <c r="S29" i="12" s="1"/>
  <c r="T29" i="12" s="1"/>
  <c r="U29" i="12" s="1"/>
  <c r="V29" i="12" s="1"/>
  <c r="W29" i="12" s="1"/>
  <c r="X29" i="12" s="1"/>
  <c r="Y29" i="12" s="1"/>
  <c r="Z29" i="12" s="1"/>
  <c r="AA29" i="12" s="1"/>
  <c r="B44" i="12"/>
  <c r="L44" i="12" s="1"/>
  <c r="M44" i="12" s="1"/>
  <c r="N44" i="12" s="1"/>
  <c r="O44" i="12" s="1"/>
  <c r="P44" i="12" s="1"/>
  <c r="Q44" i="12" s="1"/>
  <c r="R44" i="12" s="1"/>
  <c r="S44" i="12" s="1"/>
  <c r="T44" i="12" s="1"/>
  <c r="U44" i="12" s="1"/>
  <c r="V44" i="12" s="1"/>
  <c r="W44" i="12" s="1"/>
  <c r="X44" i="12" s="1"/>
  <c r="Y44" i="12" s="1"/>
  <c r="Z44" i="12" s="1"/>
  <c r="AA44" i="12" s="1"/>
  <c r="L30" i="12"/>
  <c r="M30" i="12" s="1"/>
  <c r="N30" i="12" s="1"/>
  <c r="O30" i="12" s="1"/>
  <c r="P30" i="12" s="1"/>
  <c r="Q30" i="12" s="1"/>
  <c r="R30" i="12" s="1"/>
  <c r="S30" i="12" s="1"/>
  <c r="T30" i="12" s="1"/>
  <c r="U30" i="12" s="1"/>
  <c r="V30" i="12" s="1"/>
  <c r="W30" i="12" s="1"/>
  <c r="X30" i="12" s="1"/>
  <c r="Y30" i="12" s="1"/>
  <c r="Z30" i="12" s="1"/>
  <c r="AA30" i="12" s="1"/>
  <c r="J37" i="12"/>
  <c r="K37" i="12" s="1"/>
  <c r="L37" i="12" s="1"/>
  <c r="M37" i="12" s="1"/>
  <c r="N37" i="12" s="1"/>
  <c r="O37" i="12" s="1"/>
  <c r="P37" i="12" s="1"/>
  <c r="Q37" i="12" s="1"/>
  <c r="R37" i="12" s="1"/>
  <c r="S37" i="12" s="1"/>
  <c r="T37" i="12" s="1"/>
  <c r="U37" i="12" s="1"/>
  <c r="V37" i="12" s="1"/>
  <c r="W37" i="12" s="1"/>
  <c r="X37" i="12" s="1"/>
  <c r="Y37" i="12" s="1"/>
  <c r="Z37" i="12" s="1"/>
  <c r="AA37" i="12" s="1"/>
  <c r="J36" i="12"/>
  <c r="K36" i="12" s="1"/>
  <c r="L36" i="12" s="1"/>
  <c r="M36" i="12" s="1"/>
  <c r="N36" i="12" s="1"/>
  <c r="O36" i="12" s="1"/>
  <c r="P36" i="12" s="1"/>
  <c r="Q36" i="12" s="1"/>
  <c r="R36" i="12" s="1"/>
  <c r="S36" i="12" s="1"/>
  <c r="T36" i="12" s="1"/>
  <c r="U36" i="12" s="1"/>
  <c r="V36" i="12" s="1"/>
  <c r="W36" i="12" s="1"/>
  <c r="X36" i="12" s="1"/>
  <c r="Y36" i="12" s="1"/>
  <c r="Z36" i="12" s="1"/>
  <c r="AA36" i="12" s="1"/>
  <c r="B50" i="12"/>
  <c r="J50" i="12" s="1"/>
  <c r="K50" i="12" s="1"/>
  <c r="L50" i="12" s="1"/>
  <c r="M50" i="12" s="1"/>
  <c r="N50" i="12" s="1"/>
  <c r="O50" i="12" s="1"/>
  <c r="P50" i="12" s="1"/>
  <c r="Q50" i="12" s="1"/>
  <c r="R50" i="12" s="1"/>
  <c r="S50" i="12" s="1"/>
  <c r="T50" i="12" s="1"/>
  <c r="U50" i="12" s="1"/>
  <c r="V50" i="12" s="1"/>
  <c r="W50" i="12" s="1"/>
  <c r="X50" i="12" s="1"/>
  <c r="Y50" i="12" s="1"/>
  <c r="Z50" i="12" s="1"/>
  <c r="AA50" i="12" s="1"/>
  <c r="K34" i="21"/>
  <c r="M60" i="21" s="1"/>
  <c r="L73" i="21" s="1"/>
  <c r="K33" i="21"/>
  <c r="M59" i="21" s="1"/>
  <c r="L72" i="21" s="1"/>
  <c r="K32" i="21"/>
  <c r="M58" i="21" s="1"/>
  <c r="L71" i="21" s="1"/>
  <c r="K35" i="21"/>
  <c r="M61" i="21" s="1"/>
  <c r="L74" i="21" s="1"/>
  <c r="K30" i="21"/>
  <c r="M56" i="21" s="1"/>
  <c r="L69" i="21" s="1"/>
  <c r="K31" i="21"/>
  <c r="M57" i="21" s="1"/>
  <c r="L70" i="21" s="1"/>
  <c r="M24" i="6"/>
  <c r="K37" i="21"/>
  <c r="M63" i="21" s="1"/>
  <c r="L76" i="21" s="1"/>
  <c r="K29" i="21"/>
  <c r="M55" i="21" s="1"/>
  <c r="L68" i="21" s="1"/>
  <c r="M23" i="6"/>
  <c r="M18" i="6"/>
  <c r="M19" i="6"/>
  <c r="H5" i="10"/>
  <c r="H3" i="10"/>
  <c r="H101" i="10"/>
  <c r="K36" i="21"/>
  <c r="M62" i="21" s="1"/>
  <c r="L75" i="21" s="1"/>
  <c r="M25" i="6"/>
  <c r="M22" i="6"/>
  <c r="M21" i="6"/>
  <c r="M20" i="6"/>
  <c r="M17" i="6"/>
  <c r="I104" i="10"/>
  <c r="L10" i="12"/>
  <c r="H102" i="10"/>
  <c r="H4" i="10"/>
  <c r="N4" i="12"/>
  <c r="K8" i="12"/>
  <c r="J6" i="10" s="1"/>
  <c r="M11" i="12"/>
  <c r="J6" i="12"/>
  <c r="L22" i="12"/>
  <c r="J13" i="18"/>
  <c r="L25" i="17"/>
  <c r="J18" i="12"/>
  <c r="K20" i="12"/>
  <c r="M19" i="12"/>
  <c r="F1" i="13"/>
  <c r="K260" i="21" l="1"/>
  <c r="K121" i="21"/>
  <c r="K264" i="21"/>
  <c r="K125" i="21"/>
  <c r="K265" i="21"/>
  <c r="K126" i="21"/>
  <c r="K262" i="21"/>
  <c r="K123" i="21"/>
  <c r="K261" i="21"/>
  <c r="K122" i="21"/>
  <c r="K263" i="21"/>
  <c r="K124" i="21"/>
  <c r="K259" i="21"/>
  <c r="K120" i="21"/>
  <c r="K267" i="21"/>
  <c r="K128" i="21"/>
  <c r="K266" i="21"/>
  <c r="K127" i="21"/>
  <c r="Z129" i="21"/>
  <c r="Y129" i="21"/>
  <c r="V204" i="21"/>
  <c r="L47" i="12"/>
  <c r="M47" i="12" s="1"/>
  <c r="N47" i="12" s="1"/>
  <c r="O47" i="12" s="1"/>
  <c r="P47" i="12" s="1"/>
  <c r="Q47" i="12" s="1"/>
  <c r="R47" i="12" s="1"/>
  <c r="S47" i="12" s="1"/>
  <c r="T47" i="12" s="1"/>
  <c r="U47" i="12" s="1"/>
  <c r="V47" i="12" s="1"/>
  <c r="W47" i="12" s="1"/>
  <c r="X47" i="12" s="1"/>
  <c r="Y47" i="12" s="1"/>
  <c r="Z47" i="12" s="1"/>
  <c r="AA47" i="12" s="1"/>
  <c r="K163" i="21"/>
  <c r="L163" i="21" s="1"/>
  <c r="M163" i="21" s="1"/>
  <c r="N163" i="21" s="1"/>
  <c r="O163" i="21" s="1"/>
  <c r="P163" i="21" s="1"/>
  <c r="Q163" i="21" s="1"/>
  <c r="R163" i="21" s="1"/>
  <c r="S163" i="21" s="1"/>
  <c r="T163" i="21" s="1"/>
  <c r="U163" i="21" s="1"/>
  <c r="V163" i="21" s="1"/>
  <c r="W163" i="21" s="1"/>
  <c r="X163" i="21" s="1"/>
  <c r="Y163" i="21" s="1"/>
  <c r="Z163" i="21" s="1"/>
  <c r="AA163" i="21" s="1"/>
  <c r="T207" i="21"/>
  <c r="W185" i="21"/>
  <c r="AA89" i="21"/>
  <c r="Z180" i="21" s="1"/>
  <c r="Y149" i="21"/>
  <c r="Y84" i="21" s="1"/>
  <c r="X175" i="21" s="1"/>
  <c r="AA138" i="21"/>
  <c r="AA86" i="21" s="1"/>
  <c r="Z177" i="21" s="1"/>
  <c r="N16" i="12"/>
  <c r="K35" i="12"/>
  <c r="L17" i="12"/>
  <c r="L23" i="12"/>
  <c r="L36" i="21"/>
  <c r="N62" i="21" s="1"/>
  <c r="M75" i="21" s="1"/>
  <c r="L34" i="21"/>
  <c r="N60" i="21" s="1"/>
  <c r="M73" i="21" s="1"/>
  <c r="L35" i="21"/>
  <c r="N61" i="21" s="1"/>
  <c r="M74" i="21" s="1"/>
  <c r="L32" i="21"/>
  <c r="N58" i="21" s="1"/>
  <c r="M71" i="21" s="1"/>
  <c r="L31" i="21"/>
  <c r="N57" i="21" s="1"/>
  <c r="M70" i="21" s="1"/>
  <c r="N20" i="6"/>
  <c r="N17" i="6"/>
  <c r="L33" i="21"/>
  <c r="N59" i="21" s="1"/>
  <c r="M72" i="21" s="1"/>
  <c r="N25" i="6"/>
  <c r="L30" i="21"/>
  <c r="N56" i="21" s="1"/>
  <c r="M69" i="21" s="1"/>
  <c r="I103" i="10"/>
  <c r="I101" i="10"/>
  <c r="I3" i="10"/>
  <c r="N22" i="6"/>
  <c r="N23" i="6"/>
  <c r="L29" i="21"/>
  <c r="N55" i="21" s="1"/>
  <c r="M68" i="21" s="1"/>
  <c r="N21" i="6"/>
  <c r="L37" i="21"/>
  <c r="N63" i="21" s="1"/>
  <c r="M76" i="21" s="1"/>
  <c r="N18" i="6"/>
  <c r="N19" i="6"/>
  <c r="N24" i="6"/>
  <c r="J104" i="10"/>
  <c r="I5" i="10"/>
  <c r="M10" i="12"/>
  <c r="I102" i="10"/>
  <c r="I4" i="10"/>
  <c r="L8" i="12"/>
  <c r="K104" i="10" s="1"/>
  <c r="O4" i="12"/>
  <c r="K6" i="12"/>
  <c r="J103" i="10" s="1"/>
  <c r="N11" i="12"/>
  <c r="O15" i="12"/>
  <c r="M22" i="12"/>
  <c r="I13" i="18"/>
  <c r="K25" i="17"/>
  <c r="J35" i="15"/>
  <c r="K18" i="12"/>
  <c r="L20" i="12"/>
  <c r="N19" i="12"/>
  <c r="M2" i="8"/>
  <c r="H8" i="13" s="1"/>
  <c r="E8" i="13"/>
  <c r="D8" i="13"/>
  <c r="C8" i="13"/>
  <c r="B8" i="13"/>
  <c r="F4" i="8"/>
  <c r="G4" i="8" s="1"/>
  <c r="F5" i="8"/>
  <c r="G5" i="8" s="1"/>
  <c r="F6" i="8"/>
  <c r="F3" i="8"/>
  <c r="G3" i="8" s="1"/>
  <c r="L262" i="21" l="1"/>
  <c r="L123" i="21"/>
  <c r="L265" i="21"/>
  <c r="L126" i="21"/>
  <c r="L260" i="21"/>
  <c r="L121" i="21"/>
  <c r="L264" i="21"/>
  <c r="L125" i="21"/>
  <c r="L261" i="21"/>
  <c r="L122" i="21"/>
  <c r="L266" i="21"/>
  <c r="L127" i="21"/>
  <c r="L263" i="21"/>
  <c r="L124" i="21"/>
  <c r="L259" i="21"/>
  <c r="L120" i="21"/>
  <c r="L267" i="21"/>
  <c r="L128" i="21"/>
  <c r="W204" i="21"/>
  <c r="U207" i="21"/>
  <c r="X185" i="21"/>
  <c r="Z149" i="21"/>
  <c r="Z84" i="21" s="1"/>
  <c r="Y175" i="21" s="1"/>
  <c r="L35" i="12"/>
  <c r="M23" i="12"/>
  <c r="M17" i="12"/>
  <c r="O16" i="12"/>
  <c r="M36" i="21"/>
  <c r="O62" i="21" s="1"/>
  <c r="N75" i="21" s="1"/>
  <c r="M30" i="21"/>
  <c r="O56" i="21" s="1"/>
  <c r="N69" i="21" s="1"/>
  <c r="M33" i="21"/>
  <c r="O59" i="21" s="1"/>
  <c r="N72" i="21" s="1"/>
  <c r="M35" i="21"/>
  <c r="O61" i="21" s="1"/>
  <c r="N74" i="21" s="1"/>
  <c r="M31" i="21"/>
  <c r="O57" i="21" s="1"/>
  <c r="N70" i="21" s="1"/>
  <c r="M32" i="21"/>
  <c r="O58" i="21" s="1"/>
  <c r="N71" i="21" s="1"/>
  <c r="M34" i="21"/>
  <c r="O60" i="21" s="1"/>
  <c r="N73" i="21" s="1"/>
  <c r="J5" i="10"/>
  <c r="J3" i="10"/>
  <c r="J101" i="10"/>
  <c r="O25" i="6"/>
  <c r="O17" i="6"/>
  <c r="O24" i="6"/>
  <c r="O18" i="6"/>
  <c r="O21" i="6"/>
  <c r="O22" i="6"/>
  <c r="O19" i="6"/>
  <c r="O23" i="6"/>
  <c r="M37" i="21"/>
  <c r="O63" i="21" s="1"/>
  <c r="N76" i="21" s="1"/>
  <c r="M29" i="21"/>
  <c r="O55" i="21" s="1"/>
  <c r="N68" i="21" s="1"/>
  <c r="O20" i="6"/>
  <c r="K6" i="10"/>
  <c r="N10" i="12"/>
  <c r="J102" i="10"/>
  <c r="J4" i="10"/>
  <c r="P4" i="12"/>
  <c r="M8" i="12"/>
  <c r="L6" i="10" s="1"/>
  <c r="K103" i="10"/>
  <c r="G6" i="8"/>
  <c r="O11" i="12"/>
  <c r="L6" i="12"/>
  <c r="P15" i="12"/>
  <c r="N22" i="12"/>
  <c r="H13" i="18"/>
  <c r="J25" i="17"/>
  <c r="A9" i="13"/>
  <c r="I35" i="15"/>
  <c r="A11" i="13"/>
  <c r="L18" i="12"/>
  <c r="A10" i="13"/>
  <c r="M20" i="12"/>
  <c r="A12" i="13"/>
  <c r="O19" i="12"/>
  <c r="M265" i="21" l="1"/>
  <c r="M126" i="21"/>
  <c r="M262" i="21"/>
  <c r="M123" i="21"/>
  <c r="M260" i="21"/>
  <c r="M121" i="21"/>
  <c r="M264" i="21"/>
  <c r="M125" i="21"/>
  <c r="M259" i="21"/>
  <c r="M120" i="21"/>
  <c r="M263" i="21"/>
  <c r="M124" i="21"/>
  <c r="M267" i="21"/>
  <c r="M128" i="21"/>
  <c r="M261" i="21"/>
  <c r="M122" i="21"/>
  <c r="M266" i="21"/>
  <c r="M127" i="21"/>
  <c r="X204" i="21"/>
  <c r="V207" i="21"/>
  <c r="Y185" i="21"/>
  <c r="AA149" i="21"/>
  <c r="AA84" i="21" s="1"/>
  <c r="Z175" i="21" s="1"/>
  <c r="P16" i="12"/>
  <c r="N23" i="12"/>
  <c r="N17" i="12"/>
  <c r="M35" i="12"/>
  <c r="N34" i="21"/>
  <c r="P60" i="21" s="1"/>
  <c r="O73" i="21" s="1"/>
  <c r="N29" i="21"/>
  <c r="P55" i="21" s="1"/>
  <c r="O68" i="21" s="1"/>
  <c r="L104" i="10"/>
  <c r="N35" i="21"/>
  <c r="P61" i="21" s="1"/>
  <c r="O74" i="21" s="1"/>
  <c r="N30" i="21"/>
  <c r="P56" i="21" s="1"/>
  <c r="O69" i="21" s="1"/>
  <c r="N32" i="21"/>
  <c r="P58" i="21" s="1"/>
  <c r="O71" i="21" s="1"/>
  <c r="N31" i="21"/>
  <c r="P57" i="21" s="1"/>
  <c r="O70" i="21" s="1"/>
  <c r="N36" i="21"/>
  <c r="P62" i="21" s="1"/>
  <c r="O75" i="21" s="1"/>
  <c r="P21" i="6"/>
  <c r="P25" i="6"/>
  <c r="P20" i="6"/>
  <c r="P19" i="6"/>
  <c r="P22" i="6"/>
  <c r="P17" i="6"/>
  <c r="K5" i="10"/>
  <c r="K3" i="10"/>
  <c r="K101" i="10"/>
  <c r="P23" i="6"/>
  <c r="N33" i="21"/>
  <c r="P59" i="21" s="1"/>
  <c r="O72" i="21" s="1"/>
  <c r="P24" i="6"/>
  <c r="N37" i="21"/>
  <c r="P63" i="21" s="1"/>
  <c r="O76" i="21" s="1"/>
  <c r="P18" i="6"/>
  <c r="O10" i="12"/>
  <c r="M104" i="10"/>
  <c r="K102" i="10"/>
  <c r="K4" i="10"/>
  <c r="N8" i="12"/>
  <c r="M6" i="10" s="1"/>
  <c r="Q4" i="12"/>
  <c r="M6" i="12"/>
  <c r="L103" i="10" s="1"/>
  <c r="P11" i="12"/>
  <c r="Q15" i="12"/>
  <c r="O22" i="12"/>
  <c r="G13" i="18"/>
  <c r="I25" i="17"/>
  <c r="H35" i="15"/>
  <c r="M18" i="12"/>
  <c r="N20" i="12"/>
  <c r="P19" i="12"/>
  <c r="A16" i="10"/>
  <c r="A17" i="10"/>
  <c r="A18" i="10"/>
  <c r="A15" i="10"/>
  <c r="A11" i="10"/>
  <c r="A10" i="10"/>
  <c r="A12" i="10"/>
  <c r="A9" i="10"/>
  <c r="C62" i="11"/>
  <c r="C61" i="11"/>
  <c r="C60" i="11"/>
  <c r="C59" i="11"/>
  <c r="C58" i="11"/>
  <c r="C57" i="11"/>
  <c r="C56" i="11"/>
  <c r="C55" i="11"/>
  <c r="C54" i="11"/>
  <c r="C49" i="11"/>
  <c r="C48" i="11"/>
  <c r="C47" i="11"/>
  <c r="C46" i="11"/>
  <c r="C45" i="11"/>
  <c r="C44" i="11"/>
  <c r="C43" i="11"/>
  <c r="C42" i="11"/>
  <c r="C41" i="11"/>
  <c r="C37" i="11"/>
  <c r="C36" i="11"/>
  <c r="C35" i="11"/>
  <c r="C34" i="11"/>
  <c r="C33" i="11"/>
  <c r="C32" i="11"/>
  <c r="C31" i="11"/>
  <c r="C30" i="11"/>
  <c r="C29" i="11"/>
  <c r="C17" i="11"/>
  <c r="C18" i="11"/>
  <c r="B68" i="11" s="1"/>
  <c r="C19" i="11"/>
  <c r="B69" i="11" s="1"/>
  <c r="C20" i="11"/>
  <c r="C21" i="11"/>
  <c r="C22" i="11"/>
  <c r="B72" i="11" s="1"/>
  <c r="C23" i="11"/>
  <c r="B73" i="11" s="1"/>
  <c r="C24" i="11"/>
  <c r="C16" i="11"/>
  <c r="N262" i="21" l="1"/>
  <c r="N123" i="21"/>
  <c r="N260" i="21"/>
  <c r="N121" i="21"/>
  <c r="N264" i="21"/>
  <c r="N125" i="21"/>
  <c r="N265" i="21"/>
  <c r="N126" i="21"/>
  <c r="N259" i="21"/>
  <c r="N120" i="21"/>
  <c r="N267" i="21"/>
  <c r="N128" i="21"/>
  <c r="N266" i="21"/>
  <c r="N127" i="21"/>
  <c r="N263" i="21"/>
  <c r="N124" i="21"/>
  <c r="N261" i="21"/>
  <c r="N122" i="21"/>
  <c r="Y204" i="21"/>
  <c r="W207" i="21"/>
  <c r="Z185" i="21"/>
  <c r="N35" i="12"/>
  <c r="O23" i="12"/>
  <c r="O17" i="12"/>
  <c r="Q16" i="12"/>
  <c r="O34" i="21"/>
  <c r="Q60" i="21" s="1"/>
  <c r="P73" i="21" s="1"/>
  <c r="O30" i="21"/>
  <c r="Q56" i="21" s="1"/>
  <c r="P69" i="21" s="1"/>
  <c r="O36" i="21"/>
  <c r="Q62" i="21" s="1"/>
  <c r="P75" i="21" s="1"/>
  <c r="O35" i="21"/>
  <c r="Q61" i="21" s="1"/>
  <c r="P74" i="21" s="1"/>
  <c r="O31" i="21"/>
  <c r="Q57" i="21" s="1"/>
  <c r="P70" i="21" s="1"/>
  <c r="Q17" i="6"/>
  <c r="Q21" i="6"/>
  <c r="Q20" i="6"/>
  <c r="Q25" i="6"/>
  <c r="Q18" i="6"/>
  <c r="Q24" i="6"/>
  <c r="Q23" i="6"/>
  <c r="O29" i="21"/>
  <c r="Q55" i="21" s="1"/>
  <c r="P68" i="21" s="1"/>
  <c r="Q19" i="6"/>
  <c r="O33" i="21"/>
  <c r="Q59" i="21" s="1"/>
  <c r="P72" i="21" s="1"/>
  <c r="L5" i="10"/>
  <c r="L3" i="10"/>
  <c r="L101" i="10"/>
  <c r="Q22" i="6"/>
  <c r="O32" i="21"/>
  <c r="Q58" i="21" s="1"/>
  <c r="P71" i="21" s="1"/>
  <c r="O37" i="21"/>
  <c r="Q63" i="21" s="1"/>
  <c r="P76" i="21" s="1"/>
  <c r="P10" i="12"/>
  <c r="L102" i="10"/>
  <c r="L4" i="10"/>
  <c r="R4" i="12"/>
  <c r="O8" i="12"/>
  <c r="N6" i="10" s="1"/>
  <c r="Q11" i="12"/>
  <c r="N6" i="12"/>
  <c r="R15" i="12"/>
  <c r="P22" i="12"/>
  <c r="F13" i="18"/>
  <c r="H25" i="17"/>
  <c r="B66" i="11"/>
  <c r="B71" i="11"/>
  <c r="B67" i="11"/>
  <c r="B74" i="11"/>
  <c r="B70" i="11"/>
  <c r="G35" i="15"/>
  <c r="N18" i="12"/>
  <c r="O20" i="12"/>
  <c r="Q19" i="12"/>
  <c r="D15" i="6"/>
  <c r="A22" i="10"/>
  <c r="L22" i="10" s="1"/>
  <c r="A23" i="10"/>
  <c r="A24" i="10"/>
  <c r="A21" i="10"/>
  <c r="O260" i="21" l="1"/>
  <c r="O121" i="21"/>
  <c r="O264" i="21"/>
  <c r="O125" i="21"/>
  <c r="O262" i="21"/>
  <c r="O123" i="21"/>
  <c r="O265" i="21"/>
  <c r="O126" i="21"/>
  <c r="O263" i="21"/>
  <c r="O124" i="21"/>
  <c r="O266" i="21"/>
  <c r="O127" i="21"/>
  <c r="O259" i="21"/>
  <c r="O120" i="21"/>
  <c r="O261" i="21"/>
  <c r="O122" i="21"/>
  <c r="O267" i="21"/>
  <c r="O128" i="21"/>
  <c r="Z204" i="21"/>
  <c r="X207" i="21"/>
  <c r="AA185" i="21"/>
  <c r="O35" i="12"/>
  <c r="R16" i="12"/>
  <c r="P23" i="12"/>
  <c r="P17" i="12"/>
  <c r="P36" i="21"/>
  <c r="R62" i="21" s="1"/>
  <c r="Q75" i="21" s="1"/>
  <c r="P34" i="21"/>
  <c r="R60" i="21" s="1"/>
  <c r="Q73" i="21" s="1"/>
  <c r="P30" i="21"/>
  <c r="R56" i="21" s="1"/>
  <c r="Q69" i="21" s="1"/>
  <c r="P29" i="21"/>
  <c r="R55" i="21" s="1"/>
  <c r="Q68" i="21" s="1"/>
  <c r="P32" i="21"/>
  <c r="R58" i="21" s="1"/>
  <c r="Q71" i="21" s="1"/>
  <c r="R19" i="6"/>
  <c r="R23" i="6"/>
  <c r="P37" i="21"/>
  <c r="R63" i="21" s="1"/>
  <c r="Q76" i="21" s="1"/>
  <c r="R21" i="6"/>
  <c r="M5" i="10"/>
  <c r="M3" i="10"/>
  <c r="M101" i="10"/>
  <c r="R22" i="6"/>
  <c r="R20" i="6"/>
  <c r="P31" i="21"/>
  <c r="R57" i="21" s="1"/>
  <c r="Q70" i="21" s="1"/>
  <c r="P35" i="21"/>
  <c r="R61" i="21" s="1"/>
  <c r="Q74" i="21" s="1"/>
  <c r="R18" i="6"/>
  <c r="R25" i="6"/>
  <c r="P33" i="21"/>
  <c r="R59" i="21" s="1"/>
  <c r="Q72" i="21" s="1"/>
  <c r="R24" i="6"/>
  <c r="R17" i="6"/>
  <c r="N104" i="10"/>
  <c r="M103" i="10"/>
  <c r="Q10" i="12"/>
  <c r="L139" i="10"/>
  <c r="M102" i="10"/>
  <c r="M4" i="10"/>
  <c r="P8" i="12"/>
  <c r="O6" i="10" s="1"/>
  <c r="S4" i="12"/>
  <c r="M24" i="10"/>
  <c r="M141" i="10" s="1"/>
  <c r="I24" i="10"/>
  <c r="I141" i="10" s="1"/>
  <c r="E24" i="10"/>
  <c r="E141" i="10" s="1"/>
  <c r="H24" i="10"/>
  <c r="H141" i="10" s="1"/>
  <c r="K24" i="10"/>
  <c r="K141" i="10" s="1"/>
  <c r="G24" i="10"/>
  <c r="G141" i="10" s="1"/>
  <c r="C24" i="10"/>
  <c r="C141" i="10" s="1"/>
  <c r="N24" i="10"/>
  <c r="N141" i="10" s="1"/>
  <c r="J24" i="10"/>
  <c r="J141" i="10" s="1"/>
  <c r="F24" i="10"/>
  <c r="F141" i="10" s="1"/>
  <c r="B24" i="10"/>
  <c r="B141" i="10" s="1"/>
  <c r="L24" i="10"/>
  <c r="L141" i="10" s="1"/>
  <c r="D24" i="10"/>
  <c r="D141" i="10" s="1"/>
  <c r="J23" i="10"/>
  <c r="J140" i="10" s="1"/>
  <c r="F23" i="10"/>
  <c r="F140" i="10" s="1"/>
  <c r="B23" i="10"/>
  <c r="B140" i="10" s="1"/>
  <c r="M23" i="10"/>
  <c r="M140" i="10" s="1"/>
  <c r="I23" i="10"/>
  <c r="I140" i="10" s="1"/>
  <c r="E23" i="10"/>
  <c r="E140" i="10" s="1"/>
  <c r="L23" i="10"/>
  <c r="L140" i="10" s="1"/>
  <c r="H23" i="10"/>
  <c r="H140" i="10" s="1"/>
  <c r="D23" i="10"/>
  <c r="D140" i="10" s="1"/>
  <c r="K23" i="10"/>
  <c r="K140" i="10" s="1"/>
  <c r="G23" i="10"/>
  <c r="G140" i="10" s="1"/>
  <c r="C23" i="10"/>
  <c r="C140" i="10" s="1"/>
  <c r="D22" i="10"/>
  <c r="D139" i="10" s="1"/>
  <c r="E22" i="10"/>
  <c r="E139" i="10" s="1"/>
  <c r="C22" i="10"/>
  <c r="C139" i="10" s="1"/>
  <c r="F22" i="10"/>
  <c r="F139" i="10" s="1"/>
  <c r="B22" i="10"/>
  <c r="B139" i="10" s="1"/>
  <c r="G22" i="10"/>
  <c r="G139" i="10" s="1"/>
  <c r="H22" i="10"/>
  <c r="H139" i="10" s="1"/>
  <c r="I22" i="10"/>
  <c r="I139" i="10" s="1"/>
  <c r="J22" i="10"/>
  <c r="J139" i="10" s="1"/>
  <c r="K22" i="10"/>
  <c r="K139" i="10" s="1"/>
  <c r="G21" i="10"/>
  <c r="G138" i="10" s="1"/>
  <c r="C21" i="10"/>
  <c r="C138" i="10" s="1"/>
  <c r="D21" i="10"/>
  <c r="D138" i="10" s="1"/>
  <c r="F21" i="10"/>
  <c r="F138" i="10" s="1"/>
  <c r="B21" i="10"/>
  <c r="B138" i="10" s="1"/>
  <c r="E21" i="10"/>
  <c r="E138" i="10" s="1"/>
  <c r="H21" i="10"/>
  <c r="H138" i="10" s="1"/>
  <c r="I21" i="10"/>
  <c r="I138" i="10" s="1"/>
  <c r="J21" i="10"/>
  <c r="J138" i="10" s="1"/>
  <c r="K21" i="10"/>
  <c r="K138" i="10" s="1"/>
  <c r="L21" i="10"/>
  <c r="L138" i="10" s="1"/>
  <c r="M21" i="10"/>
  <c r="M138" i="10" s="1"/>
  <c r="O6" i="12"/>
  <c r="M22" i="10"/>
  <c r="R11" i="12"/>
  <c r="S15" i="12"/>
  <c r="Q22" i="12"/>
  <c r="E13" i="18"/>
  <c r="G25" i="17"/>
  <c r="F35" i="15"/>
  <c r="O18" i="12"/>
  <c r="P20" i="12"/>
  <c r="R19" i="12"/>
  <c r="A27" i="10"/>
  <c r="A29" i="10"/>
  <c r="A28" i="10"/>
  <c r="A30" i="10"/>
  <c r="A14" i="7"/>
  <c r="B19" i="7"/>
  <c r="B21" i="7"/>
  <c r="B22" i="7"/>
  <c r="B24" i="7"/>
  <c r="B11" i="7"/>
  <c r="B6" i="7"/>
  <c r="B8" i="7"/>
  <c r="B9" i="7"/>
  <c r="P260" i="21" l="1"/>
  <c r="P121" i="21"/>
  <c r="P264" i="21"/>
  <c r="P125" i="21"/>
  <c r="P262" i="21"/>
  <c r="P123" i="21"/>
  <c r="P265" i="21"/>
  <c r="P126" i="21"/>
  <c r="P263" i="21"/>
  <c r="P124" i="21"/>
  <c r="P261" i="21"/>
  <c r="P122" i="21"/>
  <c r="P266" i="21"/>
  <c r="P127" i="21"/>
  <c r="P267" i="21"/>
  <c r="P128" i="21"/>
  <c r="P259" i="21"/>
  <c r="P120" i="21"/>
  <c r="Y207" i="21"/>
  <c r="AB185" i="21"/>
  <c r="Q17" i="12"/>
  <c r="S16" i="12"/>
  <c r="O24" i="10"/>
  <c r="O141" i="10" s="1"/>
  <c r="N23" i="10"/>
  <c r="Q23" i="12"/>
  <c r="P35" i="12"/>
  <c r="Q30" i="21"/>
  <c r="S56" i="21" s="1"/>
  <c r="R69" i="21" s="1"/>
  <c r="Q34" i="21"/>
  <c r="S60" i="21" s="1"/>
  <c r="R73" i="21" s="1"/>
  <c r="Q29" i="21"/>
  <c r="S55" i="21" s="1"/>
  <c r="R68" i="21" s="1"/>
  <c r="Q36" i="21"/>
  <c r="S62" i="21" s="1"/>
  <c r="R75" i="21" s="1"/>
  <c r="Q32" i="21"/>
  <c r="S58" i="21" s="1"/>
  <c r="R71" i="21" s="1"/>
  <c r="Q31" i="21"/>
  <c r="S57" i="21" s="1"/>
  <c r="R70" i="21" s="1"/>
  <c r="N21" i="10"/>
  <c r="N138" i="10" s="1"/>
  <c r="Q37" i="21"/>
  <c r="S63" i="21" s="1"/>
  <c r="R76" i="21" s="1"/>
  <c r="S21" i="6"/>
  <c r="S23" i="6"/>
  <c r="S18" i="6"/>
  <c r="N5" i="10"/>
  <c r="N101" i="10"/>
  <c r="N3" i="10"/>
  <c r="S24" i="6"/>
  <c r="S25" i="6"/>
  <c r="S22" i="6"/>
  <c r="Q33" i="21"/>
  <c r="S59" i="21" s="1"/>
  <c r="R72" i="21" s="1"/>
  <c r="Q35" i="21"/>
  <c r="S61" i="21" s="1"/>
  <c r="R74" i="21" s="1"/>
  <c r="S17" i="6"/>
  <c r="S20" i="6"/>
  <c r="S19" i="6"/>
  <c r="O104" i="10"/>
  <c r="N103" i="10"/>
  <c r="R10" i="12"/>
  <c r="M139" i="10"/>
  <c r="N140" i="10"/>
  <c r="N102" i="10"/>
  <c r="N4" i="10"/>
  <c r="T4" i="12"/>
  <c r="Q8" i="12"/>
  <c r="P6" i="10" s="1"/>
  <c r="S11" i="12"/>
  <c r="P6" i="12"/>
  <c r="N22" i="10"/>
  <c r="T15" i="12"/>
  <c r="R22" i="12"/>
  <c r="D13" i="18"/>
  <c r="E25" i="17" s="1"/>
  <c r="F25" i="17"/>
  <c r="H6" i="8"/>
  <c r="E35" i="15"/>
  <c r="P18" i="12"/>
  <c r="A33" i="10"/>
  <c r="A39" i="10" s="1"/>
  <c r="A36" i="10"/>
  <c r="A42" i="10" s="1"/>
  <c r="B42" i="10" s="1"/>
  <c r="A34" i="10"/>
  <c r="A40" i="10" s="1"/>
  <c r="B40" i="10" s="1"/>
  <c r="A35" i="10"/>
  <c r="A41" i="10" s="1"/>
  <c r="B41" i="10" s="1"/>
  <c r="B12" i="13"/>
  <c r="Q20" i="12"/>
  <c r="S19" i="12"/>
  <c r="C21" i="7"/>
  <c r="C22" i="7"/>
  <c r="E24" i="7"/>
  <c r="C24" i="7"/>
  <c r="G19" i="7"/>
  <c r="C19" i="7"/>
  <c r="F24" i="7"/>
  <c r="H19" i="7"/>
  <c r="D19" i="7"/>
  <c r="D24" i="7"/>
  <c r="F19" i="7"/>
  <c r="E19" i="7"/>
  <c r="C82" i="5"/>
  <c r="C86" i="5"/>
  <c r="C24" i="5"/>
  <c r="C32" i="5"/>
  <c r="C36" i="5"/>
  <c r="C67" i="5"/>
  <c r="C71" i="5"/>
  <c r="C93" i="5"/>
  <c r="C97" i="5"/>
  <c r="C16" i="5"/>
  <c r="C20" i="5"/>
  <c r="C31" i="5"/>
  <c r="C35" i="5"/>
  <c r="C42" i="5"/>
  <c r="C46" i="5"/>
  <c r="C56" i="5"/>
  <c r="C60" i="5"/>
  <c r="C68" i="5"/>
  <c r="C72" i="5"/>
  <c r="C75" i="5"/>
  <c r="C83" i="5"/>
  <c r="C87" i="5"/>
  <c r="C94" i="5"/>
  <c r="C98" i="5"/>
  <c r="C101" i="5"/>
  <c r="C30" i="5"/>
  <c r="C34" i="5"/>
  <c r="C41" i="5"/>
  <c r="C45" i="5"/>
  <c r="C49" i="5"/>
  <c r="C57" i="5"/>
  <c r="C61" i="5"/>
  <c r="C47" i="5"/>
  <c r="C58" i="5"/>
  <c r="C73" i="5"/>
  <c r="C84" i="5"/>
  <c r="C95" i="5"/>
  <c r="C18" i="5"/>
  <c r="C22" i="5"/>
  <c r="C29" i="5"/>
  <c r="C33" i="5"/>
  <c r="C37" i="5"/>
  <c r="C44" i="5"/>
  <c r="C48" i="5"/>
  <c r="C55" i="5"/>
  <c r="C59" i="5"/>
  <c r="C62" i="5"/>
  <c r="C70" i="5"/>
  <c r="C74" i="5"/>
  <c r="C81" i="5"/>
  <c r="C85" i="5"/>
  <c r="C88" i="5"/>
  <c r="C96" i="5"/>
  <c r="C100" i="5"/>
  <c r="C17" i="5"/>
  <c r="C21" i="5"/>
  <c r="C43" i="5"/>
  <c r="C54" i="5"/>
  <c r="C69" i="5"/>
  <c r="C80" i="5"/>
  <c r="C99" i="5"/>
  <c r="C19" i="5"/>
  <c r="C23" i="5"/>
  <c r="B21" i="2"/>
  <c r="D21" i="2" s="1"/>
  <c r="B22" i="2"/>
  <c r="D22" i="2" s="1"/>
  <c r="B20" i="2"/>
  <c r="D20" i="2" s="1"/>
  <c r="B18" i="2"/>
  <c r="D18" i="2" s="1"/>
  <c r="B16" i="2"/>
  <c r="D16" i="2" s="1"/>
  <c r="B17" i="2"/>
  <c r="D17" i="2" s="1"/>
  <c r="B19" i="2"/>
  <c r="D19" i="2" s="1"/>
  <c r="B23" i="2"/>
  <c r="D23" i="2" s="1"/>
  <c r="B15" i="2"/>
  <c r="D15" i="2" s="1"/>
  <c r="C6" i="2"/>
  <c r="C8" i="2"/>
  <c r="C9" i="2"/>
  <c r="C11" i="2"/>
  <c r="B4" i="2"/>
  <c r="B5" i="2"/>
  <c r="B6" i="2"/>
  <c r="B7" i="2"/>
  <c r="B8" i="2"/>
  <c r="B9" i="2"/>
  <c r="D9" i="2" s="1"/>
  <c r="B10" i="2"/>
  <c r="B11" i="2"/>
  <c r="B3" i="2"/>
  <c r="E10" i="1"/>
  <c r="C23" i="7" s="1"/>
  <c r="E3" i="1"/>
  <c r="I16" i="7" s="1"/>
  <c r="E4" i="1"/>
  <c r="L17" i="7" s="1"/>
  <c r="E5" i="1"/>
  <c r="E7" i="1"/>
  <c r="C20" i="7" s="1"/>
  <c r="Q264" i="21" l="1"/>
  <c r="Q125" i="21"/>
  <c r="Q262" i="21"/>
  <c r="Q123" i="21"/>
  <c r="Q260" i="21"/>
  <c r="Q121" i="21"/>
  <c r="Q265" i="21"/>
  <c r="Q126" i="21"/>
  <c r="Q263" i="21"/>
  <c r="Q124" i="21"/>
  <c r="Q261" i="21"/>
  <c r="Q122" i="21"/>
  <c r="Q267" i="21"/>
  <c r="Q128" i="21"/>
  <c r="Q266" i="21"/>
  <c r="Q127" i="21"/>
  <c r="Q259" i="21"/>
  <c r="Q120" i="21"/>
  <c r="Z207" i="21"/>
  <c r="AC185" i="21"/>
  <c r="P24" i="10"/>
  <c r="P141" i="10" s="1"/>
  <c r="Q35" i="12"/>
  <c r="T16" i="12"/>
  <c r="R23" i="12"/>
  <c r="R17" i="12"/>
  <c r="R32" i="21"/>
  <c r="T58" i="21" s="1"/>
  <c r="S71" i="21" s="1"/>
  <c r="R34" i="21"/>
  <c r="T60" i="21" s="1"/>
  <c r="S73" i="21" s="1"/>
  <c r="R30" i="21"/>
  <c r="T56" i="21" s="1"/>
  <c r="S69" i="21" s="1"/>
  <c r="R36" i="21"/>
  <c r="T62" i="21" s="1"/>
  <c r="S75" i="21" s="1"/>
  <c r="R33" i="21"/>
  <c r="T59" i="21" s="1"/>
  <c r="S72" i="21" s="1"/>
  <c r="O23" i="10"/>
  <c r="O21" i="10"/>
  <c r="O138" i="10" s="1"/>
  <c r="O103" i="10"/>
  <c r="O3" i="10"/>
  <c r="O101" i="10"/>
  <c r="T24" i="6"/>
  <c r="T21" i="6"/>
  <c r="R31" i="21"/>
  <c r="T57" i="21" s="1"/>
  <c r="S70" i="21" s="1"/>
  <c r="T17" i="6"/>
  <c r="T25" i="6"/>
  <c r="T23" i="6"/>
  <c r="T20" i="6"/>
  <c r="T22" i="6"/>
  <c r="T18" i="6"/>
  <c r="T19" i="6"/>
  <c r="R29" i="21"/>
  <c r="T55" i="21" s="1"/>
  <c r="S68" i="21" s="1"/>
  <c r="R37" i="21"/>
  <c r="T63" i="21" s="1"/>
  <c r="S76" i="21" s="1"/>
  <c r="R35" i="21"/>
  <c r="T61" i="21" s="1"/>
  <c r="S74" i="21" s="1"/>
  <c r="P104" i="10"/>
  <c r="O5" i="10"/>
  <c r="S10" i="12"/>
  <c r="N139" i="10"/>
  <c r="O140" i="10"/>
  <c r="C39" i="10"/>
  <c r="B39" i="10"/>
  <c r="O102" i="10"/>
  <c r="O4" i="10"/>
  <c r="E41" i="10"/>
  <c r="S17" i="10" s="1"/>
  <c r="S134" i="10" s="1"/>
  <c r="C41" i="10"/>
  <c r="B162" i="10" s="1"/>
  <c r="C40" i="10"/>
  <c r="B161" i="10" s="1"/>
  <c r="C42" i="10"/>
  <c r="B163" i="10" s="1"/>
  <c r="R8" i="12"/>
  <c r="Q104" i="10" s="1"/>
  <c r="S17" i="7"/>
  <c r="U4" i="12"/>
  <c r="Q6" i="12"/>
  <c r="O22" i="10"/>
  <c r="T11" i="12"/>
  <c r="S18" i="7"/>
  <c r="U15" i="12"/>
  <c r="C13" i="18"/>
  <c r="D25" i="17" s="1"/>
  <c r="S22" i="12"/>
  <c r="D8" i="2"/>
  <c r="C20" i="2" s="1"/>
  <c r="C12" i="13"/>
  <c r="D35" i="15"/>
  <c r="E39" i="10"/>
  <c r="Q18" i="12"/>
  <c r="A56" i="10"/>
  <c r="E42" i="10"/>
  <c r="A54" i="10"/>
  <c r="E40" i="10"/>
  <c r="B5" i="7"/>
  <c r="B18" i="7"/>
  <c r="C5" i="2"/>
  <c r="D5" i="2" s="1"/>
  <c r="C17" i="2" s="1"/>
  <c r="F16" i="7"/>
  <c r="E16" i="7"/>
  <c r="E17" i="7"/>
  <c r="G18" i="7"/>
  <c r="J17" i="7"/>
  <c r="H18" i="7"/>
  <c r="G17" i="7"/>
  <c r="I18" i="7"/>
  <c r="B20" i="7"/>
  <c r="B7" i="7"/>
  <c r="C10" i="2"/>
  <c r="B17" i="7"/>
  <c r="B4" i="7"/>
  <c r="C3" i="2"/>
  <c r="D3" i="2" s="1"/>
  <c r="C15" i="2" s="1"/>
  <c r="C4" i="2"/>
  <c r="D4" i="2" s="1"/>
  <c r="C16" i="2" s="1"/>
  <c r="D16" i="7"/>
  <c r="I17" i="7"/>
  <c r="K18" i="7"/>
  <c r="N17" i="7"/>
  <c r="L18" i="7"/>
  <c r="K17" i="7"/>
  <c r="M18" i="7"/>
  <c r="P17" i="7"/>
  <c r="B16" i="7"/>
  <c r="B3" i="7"/>
  <c r="C7" i="2"/>
  <c r="D7" i="2" s="1"/>
  <c r="C19" i="2" s="1"/>
  <c r="G16" i="7"/>
  <c r="H16" i="7"/>
  <c r="M16" i="7"/>
  <c r="M17" i="7"/>
  <c r="R17" i="7"/>
  <c r="O17" i="7"/>
  <c r="D17" i="7"/>
  <c r="F18" i="7"/>
  <c r="B23" i="7"/>
  <c r="B10" i="7"/>
  <c r="K16" i="7"/>
  <c r="L16" i="7"/>
  <c r="J16" i="7"/>
  <c r="Q17" i="7"/>
  <c r="F17" i="7"/>
  <c r="D18" i="7"/>
  <c r="E18" i="7"/>
  <c r="H17" i="7"/>
  <c r="J18" i="7"/>
  <c r="C18" i="7"/>
  <c r="C16" i="7"/>
  <c r="C17" i="7"/>
  <c r="A53" i="10"/>
  <c r="A55" i="10"/>
  <c r="N18" i="7"/>
  <c r="B48" i="6"/>
  <c r="B47" i="6"/>
  <c r="B44" i="6"/>
  <c r="B51" i="6"/>
  <c r="N19" i="7"/>
  <c r="B49" i="6"/>
  <c r="B46" i="6"/>
  <c r="B43" i="6"/>
  <c r="B45" i="6"/>
  <c r="B50" i="6"/>
  <c r="D39" i="10"/>
  <c r="D40" i="10"/>
  <c r="D41" i="10"/>
  <c r="D42" i="10"/>
  <c r="R20" i="12"/>
  <c r="T19" i="12"/>
  <c r="Q18" i="7"/>
  <c r="R18" i="7"/>
  <c r="O18" i="7"/>
  <c r="S16" i="7"/>
  <c r="P19" i="7"/>
  <c r="P18" i="7"/>
  <c r="P16" i="7"/>
  <c r="R16" i="7"/>
  <c r="N16" i="7"/>
  <c r="Q16" i="7"/>
  <c r="O16" i="7"/>
  <c r="K19" i="7"/>
  <c r="O19" i="7"/>
  <c r="J19" i="7"/>
  <c r="L19" i="7"/>
  <c r="I19" i="7"/>
  <c r="B10" i="13"/>
  <c r="M19" i="7"/>
  <c r="G24" i="7"/>
  <c r="D21" i="7"/>
  <c r="D22" i="7"/>
  <c r="D23" i="7"/>
  <c r="D20" i="7"/>
  <c r="C110" i="5"/>
  <c r="J8" i="6" s="1"/>
  <c r="C107" i="5"/>
  <c r="J5" i="6" s="1"/>
  <c r="C112" i="5"/>
  <c r="J10" i="6" s="1"/>
  <c r="C114" i="5"/>
  <c r="J12" i="6" s="1"/>
  <c r="C111" i="5"/>
  <c r="J9" i="6" s="1"/>
  <c r="C106" i="5"/>
  <c r="J4" i="6" s="1"/>
  <c r="C113" i="5"/>
  <c r="J11" i="6" s="1"/>
  <c r="C109" i="5"/>
  <c r="J7" i="6" s="1"/>
  <c r="C108" i="5"/>
  <c r="J6" i="6" s="1"/>
  <c r="C21" i="2"/>
  <c r="D11" i="2"/>
  <c r="C23" i="2" s="1"/>
  <c r="D10" i="2"/>
  <c r="C22" i="2" s="1"/>
  <c r="D6" i="2"/>
  <c r="C18" i="2" s="1"/>
  <c r="R265" i="21" l="1"/>
  <c r="R126" i="21"/>
  <c r="R260" i="21"/>
  <c r="R121" i="21"/>
  <c r="R264" i="21"/>
  <c r="R125" i="21"/>
  <c r="R262" i="21"/>
  <c r="R123" i="21"/>
  <c r="R267" i="21"/>
  <c r="R128" i="21"/>
  <c r="R261" i="21"/>
  <c r="R122" i="21"/>
  <c r="R263" i="21"/>
  <c r="R124" i="21"/>
  <c r="R259" i="21"/>
  <c r="R120" i="21"/>
  <c r="R266" i="21"/>
  <c r="R127" i="21"/>
  <c r="AD185" i="21"/>
  <c r="B9" i="10"/>
  <c r="S17" i="12"/>
  <c r="S23" i="12"/>
  <c r="R35" i="12"/>
  <c r="Q24" i="10"/>
  <c r="Q141" i="10" s="1"/>
  <c r="U16" i="12"/>
  <c r="S30" i="21"/>
  <c r="U56" i="21" s="1"/>
  <c r="T69" i="21" s="1"/>
  <c r="S36" i="21"/>
  <c r="U62" i="21" s="1"/>
  <c r="T75" i="21" s="1"/>
  <c r="S34" i="21"/>
  <c r="U60" i="21" s="1"/>
  <c r="T73" i="21" s="1"/>
  <c r="S29" i="21"/>
  <c r="U55" i="21" s="1"/>
  <c r="T68" i="21" s="1"/>
  <c r="S33" i="21"/>
  <c r="U59" i="21" s="1"/>
  <c r="T72" i="21" s="1"/>
  <c r="U19" i="6"/>
  <c r="U25" i="6"/>
  <c r="P23" i="10"/>
  <c r="P140" i="10" s="1"/>
  <c r="P21" i="10"/>
  <c r="P138" i="10" s="1"/>
  <c r="P103" i="10"/>
  <c r="P101" i="10"/>
  <c r="P3" i="10"/>
  <c r="U20" i="6"/>
  <c r="U23" i="6"/>
  <c r="S31" i="21"/>
  <c r="U57" i="21" s="1"/>
  <c r="T70" i="21" s="1"/>
  <c r="U22" i="6"/>
  <c r="S37" i="21"/>
  <c r="U63" i="21" s="1"/>
  <c r="T76" i="21" s="1"/>
  <c r="U24" i="6"/>
  <c r="U18" i="6"/>
  <c r="S32" i="21"/>
  <c r="U58" i="21" s="1"/>
  <c r="T71" i="21" s="1"/>
  <c r="S35" i="21"/>
  <c r="U61" i="21" s="1"/>
  <c r="T74" i="21" s="1"/>
  <c r="U17" i="6"/>
  <c r="U21" i="6"/>
  <c r="Q6" i="10"/>
  <c r="P5" i="10"/>
  <c r="B160" i="10"/>
  <c r="B165" i="10" s="1"/>
  <c r="T10" i="12"/>
  <c r="O139" i="10"/>
  <c r="P102" i="10"/>
  <c r="P4" i="10"/>
  <c r="O17" i="10"/>
  <c r="G17" i="10"/>
  <c r="L17" i="10"/>
  <c r="B17" i="10"/>
  <c r="K17" i="10"/>
  <c r="R17" i="10"/>
  <c r="R134" i="10" s="1"/>
  <c r="H17" i="10"/>
  <c r="E17" i="10"/>
  <c r="Q17" i="10"/>
  <c r="Q134" i="10" s="1"/>
  <c r="D17" i="10"/>
  <c r="P17" i="10"/>
  <c r="M17" i="10"/>
  <c r="C17" i="10"/>
  <c r="J17" i="10"/>
  <c r="I17" i="10"/>
  <c r="N17" i="10"/>
  <c r="F17" i="10"/>
  <c r="V4" i="12"/>
  <c r="T55" i="10"/>
  <c r="S8" i="12"/>
  <c r="R6" i="10" s="1"/>
  <c r="P56" i="10"/>
  <c r="H56" i="10"/>
  <c r="O56" i="10"/>
  <c r="G56" i="10"/>
  <c r="R56" i="10"/>
  <c r="N56" i="10"/>
  <c r="J56" i="10"/>
  <c r="F56" i="10"/>
  <c r="B56" i="10"/>
  <c r="Q56" i="10"/>
  <c r="M56" i="10"/>
  <c r="I56" i="10"/>
  <c r="E56" i="10"/>
  <c r="T56" i="10"/>
  <c r="L56" i="10"/>
  <c r="D56" i="10"/>
  <c r="S56" i="10"/>
  <c r="K56" i="10"/>
  <c r="C56" i="10"/>
  <c r="G18" i="10"/>
  <c r="F18" i="10"/>
  <c r="M18" i="10"/>
  <c r="T18" i="10"/>
  <c r="D18" i="10"/>
  <c r="B18" i="10"/>
  <c r="S18" i="10"/>
  <c r="C18" i="10"/>
  <c r="I18" i="10"/>
  <c r="P18" i="10"/>
  <c r="O18" i="10"/>
  <c r="E18" i="10"/>
  <c r="L18" i="10"/>
  <c r="R18" i="10"/>
  <c r="K18" i="10"/>
  <c r="N18" i="10"/>
  <c r="Q18" i="10"/>
  <c r="H18" i="10"/>
  <c r="J18" i="10"/>
  <c r="Q55" i="10"/>
  <c r="P55" i="10"/>
  <c r="L55" i="10"/>
  <c r="H55" i="10"/>
  <c r="D55" i="10"/>
  <c r="S55" i="10"/>
  <c r="K55" i="10"/>
  <c r="G55" i="10"/>
  <c r="M55" i="10"/>
  <c r="E55" i="10"/>
  <c r="O55" i="10"/>
  <c r="C55" i="10"/>
  <c r="R55" i="10"/>
  <c r="N55" i="10"/>
  <c r="J55" i="10"/>
  <c r="F55" i="10"/>
  <c r="B55" i="10"/>
  <c r="I55" i="10"/>
  <c r="I16" i="10"/>
  <c r="H16" i="10"/>
  <c r="J16" i="10"/>
  <c r="N16" i="10"/>
  <c r="E16" i="10"/>
  <c r="D16" i="10"/>
  <c r="K16" i="10"/>
  <c r="F16" i="10"/>
  <c r="G16" i="10"/>
  <c r="L16" i="10"/>
  <c r="O16" i="10"/>
  <c r="B16" i="10"/>
  <c r="C16" i="10"/>
  <c r="M16" i="10"/>
  <c r="P16" i="10"/>
  <c r="P133" i="10" s="1"/>
  <c r="Q16" i="10"/>
  <c r="Q133" i="10" s="1"/>
  <c r="R16" i="10"/>
  <c r="R133" i="10" s="1"/>
  <c r="G54" i="10"/>
  <c r="C54" i="10"/>
  <c r="B54" i="10"/>
  <c r="H54" i="10"/>
  <c r="F54" i="10"/>
  <c r="I54" i="10"/>
  <c r="E54" i="10"/>
  <c r="D54" i="10"/>
  <c r="J54" i="10"/>
  <c r="K54" i="10"/>
  <c r="L54" i="10"/>
  <c r="M54" i="10"/>
  <c r="N54" i="10"/>
  <c r="O54" i="10"/>
  <c r="P54" i="10"/>
  <c r="Q54" i="10"/>
  <c r="R54" i="10"/>
  <c r="B11" i="10"/>
  <c r="C11" i="10" s="1"/>
  <c r="S54" i="10"/>
  <c r="S16" i="10"/>
  <c r="S133" i="10" s="1"/>
  <c r="B10" i="10"/>
  <c r="B12" i="10"/>
  <c r="C12" i="10" s="1"/>
  <c r="D12" i="10" s="1"/>
  <c r="E12" i="10" s="1"/>
  <c r="U11" i="12"/>
  <c r="R6" i="12"/>
  <c r="P22" i="10"/>
  <c r="R15" i="10"/>
  <c r="N15" i="10"/>
  <c r="F15" i="10"/>
  <c r="Q15" i="10"/>
  <c r="M15" i="10"/>
  <c r="I15" i="10"/>
  <c r="T15" i="10"/>
  <c r="T132" i="10" s="1"/>
  <c r="P15" i="10"/>
  <c r="L15" i="10"/>
  <c r="H15" i="10"/>
  <c r="D15" i="10"/>
  <c r="S15" i="10"/>
  <c r="S132" i="10" s="1"/>
  <c r="O15" i="10"/>
  <c r="G15" i="10"/>
  <c r="J15" i="10"/>
  <c r="E15" i="10"/>
  <c r="K15" i="10"/>
  <c r="C15" i="10"/>
  <c r="B15" i="10"/>
  <c r="B33" i="8"/>
  <c r="R53" i="10"/>
  <c r="N53" i="10"/>
  <c r="J53" i="10"/>
  <c r="F53" i="10"/>
  <c r="B53" i="10"/>
  <c r="Q53" i="10"/>
  <c r="M53" i="10"/>
  <c r="I53" i="10"/>
  <c r="E53" i="10"/>
  <c r="G53" i="10"/>
  <c r="T53" i="10"/>
  <c r="P53" i="10"/>
  <c r="L53" i="10"/>
  <c r="H53" i="10"/>
  <c r="D53" i="10"/>
  <c r="S53" i="10"/>
  <c r="O53" i="10"/>
  <c r="K53" i="10"/>
  <c r="C53" i="10"/>
  <c r="B113" i="10"/>
  <c r="B120" i="10" s="1"/>
  <c r="B115" i="10"/>
  <c r="B122" i="10" s="1"/>
  <c r="B114" i="10"/>
  <c r="B121" i="10" s="1"/>
  <c r="B112" i="10"/>
  <c r="V15" i="12"/>
  <c r="T22" i="12"/>
  <c r="B60" i="10"/>
  <c r="C35" i="15"/>
  <c r="B13" i="18"/>
  <c r="R18" i="12"/>
  <c r="S20" i="12"/>
  <c r="U19" i="12"/>
  <c r="Q19" i="7"/>
  <c r="H24" i="7"/>
  <c r="E23" i="7"/>
  <c r="E21" i="7"/>
  <c r="E22" i="7"/>
  <c r="E20" i="7"/>
  <c r="K4" i="6"/>
  <c r="C3" i="7"/>
  <c r="K5" i="6"/>
  <c r="C4" i="7"/>
  <c r="K6" i="6"/>
  <c r="C5" i="7"/>
  <c r="K9" i="6"/>
  <c r="C8" i="7"/>
  <c r="K8" i="6"/>
  <c r="C7" i="7"/>
  <c r="K7" i="6"/>
  <c r="C6" i="7"/>
  <c r="K12" i="6"/>
  <c r="C11" i="7"/>
  <c r="K11" i="6"/>
  <c r="C10" i="7"/>
  <c r="K10" i="6"/>
  <c r="C9" i="7"/>
  <c r="S264" i="21" l="1"/>
  <c r="S125" i="21"/>
  <c r="S265" i="21"/>
  <c r="S126" i="21"/>
  <c r="S260" i="21"/>
  <c r="S121" i="21"/>
  <c r="S262" i="21"/>
  <c r="S123" i="21"/>
  <c r="S261" i="21"/>
  <c r="S122" i="21"/>
  <c r="S266" i="21"/>
  <c r="S127" i="21"/>
  <c r="S267" i="21"/>
  <c r="S128" i="21"/>
  <c r="S263" i="21"/>
  <c r="S124" i="21"/>
  <c r="S259" i="21"/>
  <c r="S120" i="21"/>
  <c r="T23" i="12"/>
  <c r="R24" i="10"/>
  <c r="R141" i="10" s="1"/>
  <c r="V16" i="12"/>
  <c r="S35" i="12"/>
  <c r="T17" i="12"/>
  <c r="T31" i="21"/>
  <c r="V57" i="21" s="1"/>
  <c r="U70" i="21" s="1"/>
  <c r="T32" i="21"/>
  <c r="V58" i="21" s="1"/>
  <c r="U71" i="21" s="1"/>
  <c r="T37" i="21"/>
  <c r="V63" i="21" s="1"/>
  <c r="U76" i="21" s="1"/>
  <c r="T29" i="21"/>
  <c r="V55" i="21" s="1"/>
  <c r="U68" i="21" s="1"/>
  <c r="V17" i="6"/>
  <c r="V20" i="6"/>
  <c r="V25" i="6"/>
  <c r="V21" i="6"/>
  <c r="V18" i="6"/>
  <c r="V24" i="6"/>
  <c r="V22" i="6"/>
  <c r="V23" i="6"/>
  <c r="Q103" i="10"/>
  <c r="Q3" i="10"/>
  <c r="Q101" i="10"/>
  <c r="Q23" i="10"/>
  <c r="Q140" i="10" s="1"/>
  <c r="Q146" i="10" s="1"/>
  <c r="Q21" i="10"/>
  <c r="Q138" i="10" s="1"/>
  <c r="T33" i="21"/>
  <c r="V59" i="21" s="1"/>
  <c r="U72" i="21" s="1"/>
  <c r="T30" i="21"/>
  <c r="V56" i="21" s="1"/>
  <c r="U69" i="21" s="1"/>
  <c r="T36" i="21"/>
  <c r="V62" i="21" s="1"/>
  <c r="U75" i="21" s="1"/>
  <c r="T34" i="21"/>
  <c r="V60" i="21" s="1"/>
  <c r="U73" i="21" s="1"/>
  <c r="T35" i="21"/>
  <c r="V61" i="21" s="1"/>
  <c r="U74" i="21" s="1"/>
  <c r="V19" i="6"/>
  <c r="R104" i="10"/>
  <c r="Q5" i="10"/>
  <c r="U10" i="12"/>
  <c r="P139" i="10"/>
  <c r="P145" i="10" s="1"/>
  <c r="C132" i="10"/>
  <c r="C144" i="10" s="1"/>
  <c r="G132" i="10"/>
  <c r="G144" i="10" s="1"/>
  <c r="H132" i="10"/>
  <c r="H144" i="10" s="1"/>
  <c r="I132" i="10"/>
  <c r="I144" i="10" s="1"/>
  <c r="N132" i="10"/>
  <c r="N144" i="10" s="1"/>
  <c r="E150" i="10" s="1"/>
  <c r="C133" i="10"/>
  <c r="C145" i="10" s="1"/>
  <c r="G133" i="10"/>
  <c r="G145" i="10" s="1"/>
  <c r="E133" i="10"/>
  <c r="E145" i="10" s="1"/>
  <c r="I133" i="10"/>
  <c r="I145" i="10" s="1"/>
  <c r="H135" i="10"/>
  <c r="H147" i="10" s="1"/>
  <c r="R135" i="10"/>
  <c r="R147" i="10" s="1"/>
  <c r="P135" i="10"/>
  <c r="P147" i="10" s="1"/>
  <c r="B135" i="10"/>
  <c r="B147" i="10" s="1"/>
  <c r="F135" i="10"/>
  <c r="F147" i="10" s="1"/>
  <c r="N134" i="10"/>
  <c r="N146" i="10" s="1"/>
  <c r="M134" i="10"/>
  <c r="M146" i="10" s="1"/>
  <c r="E134" i="10"/>
  <c r="E146" i="10" s="1"/>
  <c r="B134" i="10"/>
  <c r="B146" i="10" s="1"/>
  <c r="K132" i="10"/>
  <c r="K144" i="10" s="1"/>
  <c r="O132" i="10"/>
  <c r="O144" i="10" s="1"/>
  <c r="L132" i="10"/>
  <c r="L144" i="10" s="1"/>
  <c r="M132" i="10"/>
  <c r="M144" i="10" s="1"/>
  <c r="R132" i="10"/>
  <c r="B133" i="10"/>
  <c r="B145" i="10" s="1"/>
  <c r="F133" i="10"/>
  <c r="F145" i="10" s="1"/>
  <c r="N133" i="10"/>
  <c r="N145" i="10" s="1"/>
  <c r="Q135" i="10"/>
  <c r="Q147" i="10" s="1"/>
  <c r="L135" i="10"/>
  <c r="L147" i="10" s="1"/>
  <c r="I135" i="10"/>
  <c r="I147" i="10" s="1"/>
  <c r="D135" i="10"/>
  <c r="D147" i="10" s="1"/>
  <c r="G135" i="10"/>
  <c r="G147" i="10" s="1"/>
  <c r="I134" i="10"/>
  <c r="I146" i="10" s="1"/>
  <c r="P134" i="10"/>
  <c r="P146" i="10" s="1"/>
  <c r="H134" i="10"/>
  <c r="H146" i="10" s="1"/>
  <c r="L134" i="10"/>
  <c r="L146" i="10" s="1"/>
  <c r="E132" i="10"/>
  <c r="E144" i="10" s="1"/>
  <c r="P132" i="10"/>
  <c r="P144" i="10" s="1"/>
  <c r="Q132" i="10"/>
  <c r="O133" i="10"/>
  <c r="O145" i="10" s="1"/>
  <c r="K133" i="10"/>
  <c r="K145" i="10" s="1"/>
  <c r="J133" i="10"/>
  <c r="J145" i="10" s="1"/>
  <c r="N135" i="10"/>
  <c r="N147" i="10" s="1"/>
  <c r="E135" i="10"/>
  <c r="E147" i="10" s="1"/>
  <c r="C135" i="10"/>
  <c r="C147" i="10" s="1"/>
  <c r="T135" i="10"/>
  <c r="J134" i="10"/>
  <c r="J146" i="10" s="1"/>
  <c r="D134" i="10"/>
  <c r="D146" i="10" s="1"/>
  <c r="G134" i="10"/>
  <c r="G146" i="10" s="1"/>
  <c r="B132" i="10"/>
  <c r="B144" i="10" s="1"/>
  <c r="B150" i="10" s="1"/>
  <c r="J132" i="10"/>
  <c r="J144" i="10" s="1"/>
  <c r="D150" i="10" s="1"/>
  <c r="D132" i="10"/>
  <c r="D144" i="10" s="1"/>
  <c r="F132" i="10"/>
  <c r="F144" i="10" s="1"/>
  <c r="C150" i="10" s="1"/>
  <c r="M133" i="10"/>
  <c r="M145" i="10" s="1"/>
  <c r="L133" i="10"/>
  <c r="L145" i="10" s="1"/>
  <c r="D133" i="10"/>
  <c r="D145" i="10" s="1"/>
  <c r="H133" i="10"/>
  <c r="H145" i="10" s="1"/>
  <c r="J135" i="10"/>
  <c r="J147" i="10" s="1"/>
  <c r="K135" i="10"/>
  <c r="K147" i="10" s="1"/>
  <c r="O135" i="10"/>
  <c r="O147" i="10" s="1"/>
  <c r="S135" i="10"/>
  <c r="M135" i="10"/>
  <c r="M147" i="10" s="1"/>
  <c r="F134" i="10"/>
  <c r="F146" i="10" s="1"/>
  <c r="C134" i="10"/>
  <c r="C146" i="10" s="1"/>
  <c r="K134" i="10"/>
  <c r="K146" i="10" s="1"/>
  <c r="O134" i="10"/>
  <c r="O146" i="10" s="1"/>
  <c r="Q102" i="10"/>
  <c r="Q4" i="10"/>
  <c r="T8" i="12"/>
  <c r="S6" i="10" s="1"/>
  <c r="T17" i="10"/>
  <c r="T134" i="10" s="1"/>
  <c r="W4" i="12"/>
  <c r="T54" i="10"/>
  <c r="T16" i="10"/>
  <c r="T133" i="10" s="1"/>
  <c r="S6" i="12"/>
  <c r="R5" i="10" s="1"/>
  <c r="Q22" i="10"/>
  <c r="V11" i="12"/>
  <c r="B119" i="10"/>
  <c r="Q128" i="10" s="1"/>
  <c r="I6" i="8"/>
  <c r="L6" i="8" s="1"/>
  <c r="G12" i="13" s="1"/>
  <c r="W15" i="12"/>
  <c r="F12" i="10"/>
  <c r="G12" i="10" s="1"/>
  <c r="H12" i="10" s="1"/>
  <c r="I12" i="10" s="1"/>
  <c r="J12" i="10" s="1"/>
  <c r="K12" i="10" s="1"/>
  <c r="L12" i="10" s="1"/>
  <c r="M12" i="10" s="1"/>
  <c r="N12" i="10" s="1"/>
  <c r="O12" i="10" s="1"/>
  <c r="P12" i="10" s="1"/>
  <c r="Q12" i="10" s="1"/>
  <c r="R12" i="10" s="1"/>
  <c r="S12" i="10" s="1"/>
  <c r="T12" i="10" s="1"/>
  <c r="U12" i="10" s="1"/>
  <c r="V12" i="10" s="1"/>
  <c r="W12" i="10" s="1"/>
  <c r="X12" i="10" s="1"/>
  <c r="Y12" i="10" s="1"/>
  <c r="Z12" i="10" s="1"/>
  <c r="J6" i="8"/>
  <c r="U22" i="12"/>
  <c r="B35" i="15"/>
  <c r="C25" i="17"/>
  <c r="D11" i="10"/>
  <c r="E11" i="10" s="1"/>
  <c r="F11" i="10" s="1"/>
  <c r="G11" i="10" s="1"/>
  <c r="H11" i="10" s="1"/>
  <c r="I11" i="10" s="1"/>
  <c r="B29" i="10" s="1"/>
  <c r="C29" i="10" s="1"/>
  <c r="D29" i="10" s="1"/>
  <c r="E29" i="10" s="1"/>
  <c r="F29" i="10" s="1"/>
  <c r="G29" i="10" s="1"/>
  <c r="H29" i="10" s="1"/>
  <c r="I29" i="10" s="1"/>
  <c r="J29" i="10" s="1"/>
  <c r="K29" i="10" s="1"/>
  <c r="L29" i="10" s="1"/>
  <c r="M29" i="10" s="1"/>
  <c r="N29" i="10" s="1"/>
  <c r="O29" i="10" s="1"/>
  <c r="P29" i="10" s="1"/>
  <c r="Q29" i="10" s="1"/>
  <c r="R29" i="10" s="1"/>
  <c r="S29" i="10" s="1"/>
  <c r="T29" i="10" s="1"/>
  <c r="U29" i="10" s="1"/>
  <c r="V29" i="10" s="1"/>
  <c r="W29" i="10" s="1"/>
  <c r="X29" i="10" s="1"/>
  <c r="Y29" i="10" s="1"/>
  <c r="Z29" i="10" s="1"/>
  <c r="S18" i="12"/>
  <c r="C10" i="10"/>
  <c r="D10" i="10" s="1"/>
  <c r="E10" i="10" s="1"/>
  <c r="F10" i="10" s="1"/>
  <c r="G10" i="10" s="1"/>
  <c r="H10" i="10" s="1"/>
  <c r="I10" i="10" s="1"/>
  <c r="J10" i="10" s="1"/>
  <c r="K10" i="10" s="1"/>
  <c r="L10" i="10" s="1"/>
  <c r="M10" i="10" s="1"/>
  <c r="N10" i="10" s="1"/>
  <c r="O10" i="10" s="1"/>
  <c r="P10" i="10" s="1"/>
  <c r="Q10" i="10" s="1"/>
  <c r="R10" i="10" s="1"/>
  <c r="S10" i="10" s="1"/>
  <c r="T10" i="10" s="1"/>
  <c r="U10" i="10" s="1"/>
  <c r="V10" i="10" s="1"/>
  <c r="W10" i="10" s="1"/>
  <c r="X10" i="10" s="1"/>
  <c r="Y10" i="10" s="1"/>
  <c r="Z10" i="10" s="1"/>
  <c r="B64" i="10"/>
  <c r="T20" i="12"/>
  <c r="V19" i="12"/>
  <c r="R19" i="7"/>
  <c r="I24" i="7"/>
  <c r="F23" i="7"/>
  <c r="F21" i="7"/>
  <c r="F22" i="7"/>
  <c r="F20" i="7"/>
  <c r="L11" i="6"/>
  <c r="D10" i="7"/>
  <c r="L7" i="6"/>
  <c r="D6" i="7"/>
  <c r="L9" i="6"/>
  <c r="D8" i="7"/>
  <c r="L5" i="6"/>
  <c r="D4" i="7"/>
  <c r="L10" i="6"/>
  <c r="D9" i="7"/>
  <c r="L12" i="6"/>
  <c r="D11" i="7"/>
  <c r="L8" i="6"/>
  <c r="D7" i="7"/>
  <c r="L6" i="6"/>
  <c r="D5" i="7"/>
  <c r="L4" i="6"/>
  <c r="D3" i="7"/>
  <c r="T264" i="21" l="1"/>
  <c r="T125" i="21"/>
  <c r="T260" i="21"/>
  <c r="T121" i="21"/>
  <c r="T265" i="21"/>
  <c r="T126" i="21"/>
  <c r="T262" i="21"/>
  <c r="T123" i="21"/>
  <c r="T261" i="21"/>
  <c r="T122" i="21"/>
  <c r="T266" i="21"/>
  <c r="T127" i="21"/>
  <c r="T259" i="21"/>
  <c r="T120" i="21"/>
  <c r="T267" i="21"/>
  <c r="T128" i="21"/>
  <c r="T263" i="21"/>
  <c r="T124" i="21"/>
  <c r="R103" i="10"/>
  <c r="C152" i="10"/>
  <c r="T35" i="12"/>
  <c r="S24" i="10"/>
  <c r="U17" i="12"/>
  <c r="W16" i="12"/>
  <c r="U23" i="12"/>
  <c r="U30" i="21"/>
  <c r="W56" i="21" s="1"/>
  <c r="V69" i="21" s="1"/>
  <c r="U29" i="21"/>
  <c r="W55" i="21" s="1"/>
  <c r="V68" i="21" s="1"/>
  <c r="Q144" i="10"/>
  <c r="U31" i="21"/>
  <c r="W57" i="21" s="1"/>
  <c r="V70" i="21" s="1"/>
  <c r="U36" i="21"/>
  <c r="W62" i="21" s="1"/>
  <c r="V75" i="21" s="1"/>
  <c r="U32" i="21"/>
  <c r="W58" i="21" s="1"/>
  <c r="V71" i="21" s="1"/>
  <c r="W19" i="6"/>
  <c r="U35" i="21"/>
  <c r="W61" i="21" s="1"/>
  <c r="V74" i="21" s="1"/>
  <c r="W24" i="6"/>
  <c r="U33" i="21"/>
  <c r="W59" i="21" s="1"/>
  <c r="V72" i="21" s="1"/>
  <c r="W20" i="6"/>
  <c r="W22" i="6"/>
  <c r="W25" i="6"/>
  <c r="R23" i="10"/>
  <c r="R140" i="10" s="1"/>
  <c r="R146" i="10" s="1"/>
  <c r="R21" i="10"/>
  <c r="R138" i="10" s="1"/>
  <c r="R144" i="10" s="1"/>
  <c r="F150" i="10" s="1"/>
  <c r="R101" i="10"/>
  <c r="R3" i="10"/>
  <c r="W23" i="6"/>
  <c r="W21" i="6"/>
  <c r="U34" i="21"/>
  <c r="W60" i="21" s="1"/>
  <c r="V73" i="21" s="1"/>
  <c r="W18" i="6"/>
  <c r="U37" i="21"/>
  <c r="W63" i="21" s="1"/>
  <c r="V76" i="21" s="1"/>
  <c r="W17" i="6"/>
  <c r="E151" i="10"/>
  <c r="D153" i="10"/>
  <c r="S141" i="10"/>
  <c r="S147" i="10" s="1"/>
  <c r="S104" i="10"/>
  <c r="E152" i="10"/>
  <c r="D151" i="10"/>
  <c r="C129" i="10"/>
  <c r="Q127" i="10"/>
  <c r="X127" i="10"/>
  <c r="H127" i="10"/>
  <c r="O127" i="10"/>
  <c r="Z127" i="10"/>
  <c r="J127" i="10"/>
  <c r="Z129" i="10"/>
  <c r="M127" i="10"/>
  <c r="T127" i="10"/>
  <c r="D127" i="10"/>
  <c r="K127" i="10"/>
  <c r="V127" i="10"/>
  <c r="F127" i="10"/>
  <c r="S129" i="10"/>
  <c r="Y127" i="10"/>
  <c r="I127" i="10"/>
  <c r="P127" i="10"/>
  <c r="W127" i="10"/>
  <c r="G127" i="10"/>
  <c r="R127" i="10"/>
  <c r="B127" i="10"/>
  <c r="C151" i="10"/>
  <c r="O129" i="10"/>
  <c r="U127" i="10"/>
  <c r="E127" i="10"/>
  <c r="L127" i="10"/>
  <c r="S127" i="10"/>
  <c r="C127" i="10"/>
  <c r="N127" i="10"/>
  <c r="B151" i="10"/>
  <c r="W129" i="10"/>
  <c r="G129" i="10"/>
  <c r="R129" i="10"/>
  <c r="B129" i="10"/>
  <c r="M129" i="10"/>
  <c r="T129" i="10"/>
  <c r="D129" i="10"/>
  <c r="P128" i="10"/>
  <c r="W128" i="10"/>
  <c r="G128" i="10"/>
  <c r="R128" i="10"/>
  <c r="B128" i="10"/>
  <c r="M128" i="10"/>
  <c r="N129" i="10"/>
  <c r="Y129" i="10"/>
  <c r="I129" i="10"/>
  <c r="P129" i="10"/>
  <c r="L128" i="10"/>
  <c r="S128" i="10"/>
  <c r="C128" i="10"/>
  <c r="N128" i="10"/>
  <c r="Y128" i="10"/>
  <c r="I128" i="10"/>
  <c r="D152" i="10"/>
  <c r="B152" i="10"/>
  <c r="J129" i="10"/>
  <c r="U129" i="10"/>
  <c r="E129" i="10"/>
  <c r="L129" i="10"/>
  <c r="X128" i="10"/>
  <c r="H128" i="10"/>
  <c r="O128" i="10"/>
  <c r="Z128" i="10"/>
  <c r="J128" i="10"/>
  <c r="U128" i="10"/>
  <c r="E128" i="10"/>
  <c r="K129" i="10"/>
  <c r="V129" i="10"/>
  <c r="F129" i="10"/>
  <c r="Q129" i="10"/>
  <c r="X129" i="10"/>
  <c r="H129" i="10"/>
  <c r="T128" i="10"/>
  <c r="D128" i="10"/>
  <c r="K128" i="10"/>
  <c r="V128" i="10"/>
  <c r="F128" i="10"/>
  <c r="V10" i="12"/>
  <c r="E153" i="10"/>
  <c r="C153" i="10"/>
  <c r="B153" i="10"/>
  <c r="Q139" i="10"/>
  <c r="Q145" i="10" s="1"/>
  <c r="R102" i="10"/>
  <c r="R4" i="10"/>
  <c r="D126" i="10"/>
  <c r="H126" i="10"/>
  <c r="L126" i="10"/>
  <c r="T126" i="10"/>
  <c r="Z126" i="10"/>
  <c r="E126" i="10"/>
  <c r="I126" i="10"/>
  <c r="M126" i="10"/>
  <c r="Q126" i="10"/>
  <c r="U126" i="10"/>
  <c r="Y126" i="10"/>
  <c r="F126" i="10"/>
  <c r="J126" i="10"/>
  <c r="N126" i="10"/>
  <c r="R126" i="10"/>
  <c r="V126" i="10"/>
  <c r="C126" i="10"/>
  <c r="G126" i="10"/>
  <c r="K126" i="10"/>
  <c r="O126" i="10"/>
  <c r="S126" i="10"/>
  <c r="W126" i="10"/>
  <c r="B126" i="10"/>
  <c r="P126" i="10"/>
  <c r="X126" i="10"/>
  <c r="U17" i="10"/>
  <c r="U134" i="10" s="1"/>
  <c r="U55" i="10"/>
  <c r="V68" i="10"/>
  <c r="U15" i="10"/>
  <c r="U132" i="10" s="1"/>
  <c r="U53" i="10"/>
  <c r="U8" i="12"/>
  <c r="T6" i="10" s="1"/>
  <c r="X4" i="12"/>
  <c r="U18" i="10"/>
  <c r="U56" i="10"/>
  <c r="K6" i="8"/>
  <c r="F12" i="13" s="1"/>
  <c r="U54" i="10"/>
  <c r="U16" i="10"/>
  <c r="U133" i="10" s="1"/>
  <c r="W11" i="12"/>
  <c r="T6" i="12"/>
  <c r="R22" i="10"/>
  <c r="R68" i="10"/>
  <c r="N68" i="10"/>
  <c r="S68" i="10"/>
  <c r="O68" i="10"/>
  <c r="U68" i="10"/>
  <c r="Q68" i="10"/>
  <c r="M68" i="10"/>
  <c r="T68" i="10"/>
  <c r="P68" i="10"/>
  <c r="B35" i="8"/>
  <c r="D12" i="13"/>
  <c r="B30" i="10"/>
  <c r="C30" i="10" s="1"/>
  <c r="D30" i="10" s="1"/>
  <c r="E30" i="10" s="1"/>
  <c r="F30" i="10" s="1"/>
  <c r="G30" i="10" s="1"/>
  <c r="H30" i="10" s="1"/>
  <c r="I30" i="10" s="1"/>
  <c r="J30" i="10" s="1"/>
  <c r="K30" i="10" s="1"/>
  <c r="L30" i="10" s="1"/>
  <c r="M30" i="10" s="1"/>
  <c r="N30" i="10" s="1"/>
  <c r="O30" i="10" s="1"/>
  <c r="P30" i="10" s="1"/>
  <c r="Q30" i="10" s="1"/>
  <c r="R30" i="10" s="1"/>
  <c r="S30" i="10" s="1"/>
  <c r="T30" i="10" s="1"/>
  <c r="U30" i="10" s="1"/>
  <c r="V30" i="10" s="1"/>
  <c r="W30" i="10" s="1"/>
  <c r="X30" i="10" s="1"/>
  <c r="Y30" i="10" s="1"/>
  <c r="Z30" i="10" s="1"/>
  <c r="X15" i="12"/>
  <c r="J5" i="8"/>
  <c r="M6" i="8"/>
  <c r="E12" i="13"/>
  <c r="V22" i="12"/>
  <c r="B28" i="10"/>
  <c r="C28" i="10" s="1"/>
  <c r="D28" i="10" s="1"/>
  <c r="E28" i="10" s="1"/>
  <c r="F28" i="10" s="1"/>
  <c r="G28" i="10" s="1"/>
  <c r="H28" i="10" s="1"/>
  <c r="I28" i="10" s="1"/>
  <c r="J28" i="10" s="1"/>
  <c r="K28" i="10" s="1"/>
  <c r="L28" i="10" s="1"/>
  <c r="M28" i="10" s="1"/>
  <c r="N28" i="10" s="1"/>
  <c r="O28" i="10" s="1"/>
  <c r="P28" i="10" s="1"/>
  <c r="Q28" i="10" s="1"/>
  <c r="R28" i="10" s="1"/>
  <c r="S28" i="10" s="1"/>
  <c r="T28" i="10" s="1"/>
  <c r="U28" i="10" s="1"/>
  <c r="V28" i="10" s="1"/>
  <c r="W28" i="10" s="1"/>
  <c r="X28" i="10" s="1"/>
  <c r="Y28" i="10" s="1"/>
  <c r="Z28" i="10" s="1"/>
  <c r="T18" i="12"/>
  <c r="J11" i="10"/>
  <c r="K11" i="10" s="1"/>
  <c r="L11" i="10" s="1"/>
  <c r="M11" i="10" s="1"/>
  <c r="N11" i="10" s="1"/>
  <c r="O11" i="10" s="1"/>
  <c r="P11" i="10" s="1"/>
  <c r="Q11" i="10" s="1"/>
  <c r="R11" i="10" s="1"/>
  <c r="S11" i="10" s="1"/>
  <c r="T11" i="10" s="1"/>
  <c r="U11" i="10" s="1"/>
  <c r="V11" i="10" s="1"/>
  <c r="W11" i="10" s="1"/>
  <c r="X11" i="10" s="1"/>
  <c r="Y11" i="10" s="1"/>
  <c r="Z11" i="10" s="1"/>
  <c r="U20" i="12"/>
  <c r="W19" i="12"/>
  <c r="S19" i="7"/>
  <c r="J24" i="7"/>
  <c r="G20" i="7"/>
  <c r="G23" i="7"/>
  <c r="G21" i="7"/>
  <c r="G22" i="7"/>
  <c r="M6" i="6"/>
  <c r="E5" i="7"/>
  <c r="M12" i="6"/>
  <c r="E11" i="7"/>
  <c r="M5" i="6"/>
  <c r="E4" i="7"/>
  <c r="M7" i="6"/>
  <c r="E6" i="7"/>
  <c r="M4" i="6"/>
  <c r="E3" i="7"/>
  <c r="M8" i="6"/>
  <c r="E7" i="7"/>
  <c r="M10" i="6"/>
  <c r="E9" i="7"/>
  <c r="M9" i="6"/>
  <c r="E8" i="7"/>
  <c r="M11" i="6"/>
  <c r="E10" i="7"/>
  <c r="U262" i="21" l="1"/>
  <c r="U123" i="21"/>
  <c r="U260" i="21"/>
  <c r="U121" i="21"/>
  <c r="U264" i="21"/>
  <c r="U125" i="21"/>
  <c r="U265" i="21"/>
  <c r="U126" i="21"/>
  <c r="U263" i="21"/>
  <c r="U124" i="21"/>
  <c r="U259" i="21"/>
  <c r="U120" i="21"/>
  <c r="U266" i="21"/>
  <c r="U127" i="21"/>
  <c r="U267" i="21"/>
  <c r="U128" i="21"/>
  <c r="U261" i="21"/>
  <c r="U122" i="21"/>
  <c r="T24" i="10"/>
  <c r="T141" i="10" s="1"/>
  <c r="T147" i="10" s="1"/>
  <c r="X16" i="12"/>
  <c r="V23" i="12"/>
  <c r="V17" i="12"/>
  <c r="U35" i="12"/>
  <c r="V32" i="21"/>
  <c r="X58" i="21" s="1"/>
  <c r="W71" i="21" s="1"/>
  <c r="V36" i="21"/>
  <c r="X62" i="21" s="1"/>
  <c r="W75" i="21" s="1"/>
  <c r="V31" i="21"/>
  <c r="X57" i="21" s="1"/>
  <c r="W70" i="21" s="1"/>
  <c r="V35" i="21"/>
  <c r="X61" i="21" s="1"/>
  <c r="W74" i="21" s="1"/>
  <c r="V37" i="21"/>
  <c r="X63" i="21" s="1"/>
  <c r="W76" i="21" s="1"/>
  <c r="X23" i="6"/>
  <c r="X25" i="6"/>
  <c r="S23" i="10"/>
  <c r="S21" i="10"/>
  <c r="S138" i="10" s="1"/>
  <c r="S144" i="10" s="1"/>
  <c r="S5" i="10"/>
  <c r="S3" i="10"/>
  <c r="S101" i="10"/>
  <c r="X17" i="6"/>
  <c r="X18" i="6"/>
  <c r="X21" i="6"/>
  <c r="V34" i="21"/>
  <c r="X60" i="21" s="1"/>
  <c r="W73" i="21" s="1"/>
  <c r="X20" i="6"/>
  <c r="X24" i="6"/>
  <c r="X19" i="6"/>
  <c r="V29" i="21"/>
  <c r="X55" i="21" s="1"/>
  <c r="W68" i="21" s="1"/>
  <c r="V30" i="21"/>
  <c r="X56" i="21" s="1"/>
  <c r="W69" i="21" s="1"/>
  <c r="V33" i="21"/>
  <c r="X59" i="21" s="1"/>
  <c r="W72" i="21" s="1"/>
  <c r="X22" i="6"/>
  <c r="T104" i="10"/>
  <c r="S103" i="10"/>
  <c r="W10" i="12"/>
  <c r="R139" i="10"/>
  <c r="R145" i="10" s="1"/>
  <c r="F151" i="10" s="1"/>
  <c r="S140" i="10"/>
  <c r="S146" i="10" s="1"/>
  <c r="U135" i="10"/>
  <c r="S102" i="10"/>
  <c r="S4" i="10"/>
  <c r="Y4" i="12"/>
  <c r="V8" i="12"/>
  <c r="U104" i="10" s="1"/>
  <c r="V15" i="10"/>
  <c r="V132" i="10" s="1"/>
  <c r="V53" i="10"/>
  <c r="V56" i="10"/>
  <c r="V18" i="10"/>
  <c r="V17" i="10"/>
  <c r="V134" i="10" s="1"/>
  <c r="V55" i="10"/>
  <c r="V16" i="10"/>
  <c r="V133" i="10" s="1"/>
  <c r="V54" i="10"/>
  <c r="U6" i="12"/>
  <c r="S22" i="10"/>
  <c r="X11" i="12"/>
  <c r="E11" i="13"/>
  <c r="Y15" i="12"/>
  <c r="N6" i="8"/>
  <c r="I12" i="13" s="1"/>
  <c r="H12" i="13"/>
  <c r="W22" i="12"/>
  <c r="U18" i="12"/>
  <c r="V20" i="12"/>
  <c r="X19" i="12"/>
  <c r="K24" i="7"/>
  <c r="H22" i="7"/>
  <c r="H20" i="7"/>
  <c r="H23" i="7"/>
  <c r="H21" i="7"/>
  <c r="N9" i="6"/>
  <c r="F8" i="7"/>
  <c r="N8" i="6"/>
  <c r="F7" i="7"/>
  <c r="N7" i="6"/>
  <c r="F6" i="7"/>
  <c r="N12" i="6"/>
  <c r="F11" i="7"/>
  <c r="N11" i="6"/>
  <c r="F10" i="7"/>
  <c r="N10" i="6"/>
  <c r="F9" i="7"/>
  <c r="N4" i="6"/>
  <c r="F3" i="7"/>
  <c r="N5" i="6"/>
  <c r="F4" i="7"/>
  <c r="N6" i="6"/>
  <c r="F5" i="7"/>
  <c r="V260" i="21" l="1"/>
  <c r="V121" i="21"/>
  <c r="V262" i="21"/>
  <c r="V123" i="21"/>
  <c r="V264" i="21"/>
  <c r="V125" i="21"/>
  <c r="V265" i="21"/>
  <c r="V126" i="21"/>
  <c r="V267" i="21"/>
  <c r="V128" i="21"/>
  <c r="V259" i="21"/>
  <c r="V120" i="21"/>
  <c r="V261" i="21"/>
  <c r="V122" i="21"/>
  <c r="V263" i="21"/>
  <c r="V124" i="21"/>
  <c r="V266" i="21"/>
  <c r="V127" i="21"/>
  <c r="V35" i="12"/>
  <c r="W23" i="12"/>
  <c r="W17" i="12"/>
  <c r="Y16" i="12"/>
  <c r="U24" i="10"/>
  <c r="W31" i="21"/>
  <c r="Y57" i="21" s="1"/>
  <c r="X70" i="21" s="1"/>
  <c r="W29" i="21"/>
  <c r="Y55" i="21" s="1"/>
  <c r="X68" i="21" s="1"/>
  <c r="W37" i="21"/>
  <c r="Y63" i="21" s="1"/>
  <c r="X76" i="21" s="1"/>
  <c r="W32" i="21"/>
  <c r="Y58" i="21" s="1"/>
  <c r="X71" i="21" s="1"/>
  <c r="W33" i="21"/>
  <c r="Y59" i="21" s="1"/>
  <c r="X72" i="21" s="1"/>
  <c r="W36" i="21"/>
  <c r="Y62" i="21" s="1"/>
  <c r="X75" i="21" s="1"/>
  <c r="W35" i="21"/>
  <c r="Y61" i="21" s="1"/>
  <c r="X74" i="21" s="1"/>
  <c r="T103" i="10"/>
  <c r="T3" i="10"/>
  <c r="T101" i="10"/>
  <c r="T23" i="10"/>
  <c r="T21" i="10"/>
  <c r="T138" i="10" s="1"/>
  <c r="T144" i="10" s="1"/>
  <c r="Y19" i="6"/>
  <c r="Y17" i="6"/>
  <c r="Y25" i="6"/>
  <c r="Y22" i="6"/>
  <c r="Y18" i="6"/>
  <c r="Y20" i="6"/>
  <c r="Y21" i="6"/>
  <c r="W34" i="21"/>
  <c r="Y60" i="21" s="1"/>
  <c r="X73" i="21" s="1"/>
  <c r="Y24" i="6"/>
  <c r="W30" i="21"/>
  <c r="Y56" i="21" s="1"/>
  <c r="X69" i="21" s="1"/>
  <c r="Y23" i="6"/>
  <c r="U6" i="10"/>
  <c r="U141" i="10" s="1"/>
  <c r="U147" i="10" s="1"/>
  <c r="T5" i="10"/>
  <c r="F153" i="10"/>
  <c r="F152" i="10"/>
  <c r="X10" i="12"/>
  <c r="T140" i="10"/>
  <c r="T146" i="10" s="1"/>
  <c r="S139" i="10"/>
  <c r="S145" i="10" s="1"/>
  <c r="V135" i="10"/>
  <c r="T102" i="10"/>
  <c r="T4" i="10"/>
  <c r="W17" i="10"/>
  <c r="W134" i="10" s="1"/>
  <c r="W55" i="10"/>
  <c r="W56" i="10"/>
  <c r="W18" i="10"/>
  <c r="W8" i="12"/>
  <c r="V104" i="10" s="1"/>
  <c r="W15" i="10"/>
  <c r="W132" i="10" s="1"/>
  <c r="W53" i="10"/>
  <c r="Z4" i="12"/>
  <c r="W16" i="10"/>
  <c r="W133" i="10" s="1"/>
  <c r="W54" i="10"/>
  <c r="W68" i="10"/>
  <c r="Y11" i="12"/>
  <c r="V6" i="12"/>
  <c r="T22" i="10"/>
  <c r="Z15" i="12"/>
  <c r="X22" i="12"/>
  <c r="V18" i="12"/>
  <c r="W20" i="12"/>
  <c r="Y19" i="12"/>
  <c r="L24" i="7"/>
  <c r="I22" i="7"/>
  <c r="I20" i="7"/>
  <c r="I23" i="7"/>
  <c r="I21" i="7"/>
  <c r="O6" i="6"/>
  <c r="G5" i="7"/>
  <c r="O4" i="6"/>
  <c r="G3" i="7"/>
  <c r="O11" i="6"/>
  <c r="G10" i="7"/>
  <c r="O7" i="6"/>
  <c r="G6" i="7"/>
  <c r="O9" i="6"/>
  <c r="G8" i="7"/>
  <c r="O5" i="6"/>
  <c r="G4" i="7"/>
  <c r="O10" i="6"/>
  <c r="G9" i="7"/>
  <c r="O12" i="6"/>
  <c r="G11" i="7"/>
  <c r="O8" i="6"/>
  <c r="G7" i="7"/>
  <c r="W264" i="21" l="1"/>
  <c r="W125" i="21"/>
  <c r="W262" i="21"/>
  <c r="W123" i="21"/>
  <c r="W265" i="21"/>
  <c r="W126" i="21"/>
  <c r="W260" i="21"/>
  <c r="W121" i="21"/>
  <c r="W263" i="21"/>
  <c r="W124" i="21"/>
  <c r="W261" i="21"/>
  <c r="W122" i="21"/>
  <c r="W267" i="21"/>
  <c r="W128" i="21"/>
  <c r="W266" i="21"/>
  <c r="W127" i="21"/>
  <c r="W259" i="21"/>
  <c r="W120" i="21"/>
  <c r="X30" i="21"/>
  <c r="Z56" i="21" s="1"/>
  <c r="Y69" i="21" s="1"/>
  <c r="X31" i="21"/>
  <c r="Z57" i="21" s="1"/>
  <c r="Y70" i="21" s="1"/>
  <c r="V24" i="10"/>
  <c r="Z16" i="12"/>
  <c r="X23" i="12"/>
  <c r="X17" i="12"/>
  <c r="W35" i="12"/>
  <c r="X35" i="21"/>
  <c r="Z61" i="21" s="1"/>
  <c r="Y74" i="21" s="1"/>
  <c r="X36" i="21"/>
  <c r="Z62" i="21" s="1"/>
  <c r="Y75" i="21" s="1"/>
  <c r="X32" i="21"/>
  <c r="Z58" i="21" s="1"/>
  <c r="Y71" i="21" s="1"/>
  <c r="X29" i="21"/>
  <c r="Z55" i="21" s="1"/>
  <c r="Y68" i="21" s="1"/>
  <c r="Z21" i="6"/>
  <c r="Z25" i="6"/>
  <c r="Z22" i="6"/>
  <c r="X33" i="21"/>
  <c r="Z59" i="21" s="1"/>
  <c r="Y72" i="21" s="1"/>
  <c r="Z18" i="6"/>
  <c r="X37" i="21"/>
  <c r="Z63" i="21" s="1"/>
  <c r="Y76" i="21" s="1"/>
  <c r="Z19" i="6"/>
  <c r="U23" i="10"/>
  <c r="U21" i="10"/>
  <c r="U138" i="10" s="1"/>
  <c r="U144" i="10" s="1"/>
  <c r="U103" i="10"/>
  <c r="U3" i="10"/>
  <c r="U101" i="10"/>
  <c r="Z23" i="6"/>
  <c r="Z24" i="6"/>
  <c r="Z20" i="6"/>
  <c r="X34" i="21"/>
  <c r="Z60" i="21" s="1"/>
  <c r="Y73" i="21" s="1"/>
  <c r="Z17" i="6"/>
  <c r="V6" i="10"/>
  <c r="V141" i="10" s="1"/>
  <c r="V147" i="10" s="1"/>
  <c r="U5" i="10"/>
  <c r="Y10" i="12"/>
  <c r="T139" i="10"/>
  <c r="T145" i="10" s="1"/>
  <c r="W135" i="10"/>
  <c r="U102" i="10"/>
  <c r="U4" i="10"/>
  <c r="AA4" i="12"/>
  <c r="X53" i="10"/>
  <c r="X15" i="10"/>
  <c r="X132" i="10" s="1"/>
  <c r="X8" i="12"/>
  <c r="W104" i="10" s="1"/>
  <c r="X18" i="10"/>
  <c r="X56" i="10"/>
  <c r="X17" i="10"/>
  <c r="X134" i="10" s="1"/>
  <c r="X55" i="10"/>
  <c r="X54" i="10"/>
  <c r="X16" i="10"/>
  <c r="X133" i="10" s="1"/>
  <c r="X68" i="10"/>
  <c r="W6" i="12"/>
  <c r="U22" i="10"/>
  <c r="Z11" i="12"/>
  <c r="AA15" i="12"/>
  <c r="Y22" i="12"/>
  <c r="W18" i="12"/>
  <c r="X20" i="12"/>
  <c r="Z19" i="12"/>
  <c r="M24" i="7"/>
  <c r="J23" i="7"/>
  <c r="J21" i="7"/>
  <c r="J22" i="7"/>
  <c r="J20" i="7"/>
  <c r="P8" i="6"/>
  <c r="H7" i="7"/>
  <c r="P10" i="6"/>
  <c r="H9" i="7"/>
  <c r="P9" i="6"/>
  <c r="H8" i="7"/>
  <c r="P11" i="6"/>
  <c r="H10" i="7"/>
  <c r="P6" i="6"/>
  <c r="H5" i="7"/>
  <c r="P12" i="6"/>
  <c r="H11" i="7"/>
  <c r="P5" i="6"/>
  <c r="H4" i="7"/>
  <c r="P7" i="6"/>
  <c r="H6" i="7"/>
  <c r="P4" i="6"/>
  <c r="H3" i="7"/>
  <c r="X262" i="21" l="1"/>
  <c r="X123" i="21"/>
  <c r="X260" i="21"/>
  <c r="X121" i="21"/>
  <c r="X265" i="21"/>
  <c r="X126" i="21"/>
  <c r="X264" i="21"/>
  <c r="X125" i="21"/>
  <c r="X261" i="21"/>
  <c r="X122" i="21"/>
  <c r="X266" i="21"/>
  <c r="X127" i="21"/>
  <c r="X267" i="21"/>
  <c r="X128" i="21"/>
  <c r="X263" i="21"/>
  <c r="X124" i="21"/>
  <c r="X259" i="21"/>
  <c r="X120" i="21"/>
  <c r="W24" i="10"/>
  <c r="Y17" i="12"/>
  <c r="AA16" i="12"/>
  <c r="X35" i="12"/>
  <c r="Y23" i="12"/>
  <c r="U140" i="10"/>
  <c r="U146" i="10" s="1"/>
  <c r="Y35" i="21"/>
  <c r="AA61" i="21" s="1"/>
  <c r="Z74" i="21" s="1"/>
  <c r="Y31" i="21"/>
  <c r="AA57" i="21" s="1"/>
  <c r="Z70" i="21" s="1"/>
  <c r="Y30" i="21"/>
  <c r="AA56" i="21" s="1"/>
  <c r="Z69" i="21" s="1"/>
  <c r="Y34" i="21"/>
  <c r="AA60" i="21" s="1"/>
  <c r="Z73" i="21" s="1"/>
  <c r="Y37" i="21"/>
  <c r="AA63" i="21" s="1"/>
  <c r="Z76" i="21" s="1"/>
  <c r="Y33" i="21"/>
  <c r="AA59" i="21" s="1"/>
  <c r="Z72" i="21" s="1"/>
  <c r="Y29" i="21"/>
  <c r="AA55" i="21" s="1"/>
  <c r="Z68" i="21" s="1"/>
  <c r="Y32" i="21"/>
  <c r="AA58" i="21" s="1"/>
  <c r="Z71" i="21" s="1"/>
  <c r="V23" i="10"/>
  <c r="V21" i="10"/>
  <c r="V138" i="10" s="1"/>
  <c r="V144" i="10" s="1"/>
  <c r="G150" i="10" s="1"/>
  <c r="V103" i="10"/>
  <c r="V3" i="10"/>
  <c r="V101" i="10"/>
  <c r="Y36" i="21"/>
  <c r="AA62" i="21" s="1"/>
  <c r="Z75" i="21" s="1"/>
  <c r="W6" i="10"/>
  <c r="V5" i="10"/>
  <c r="Z10" i="12"/>
  <c r="U139" i="10"/>
  <c r="U145" i="10" s="1"/>
  <c r="V140" i="10"/>
  <c r="V146" i="10" s="1"/>
  <c r="X135" i="10"/>
  <c r="V102" i="10"/>
  <c r="V4" i="10"/>
  <c r="Y17" i="10"/>
  <c r="Y134" i="10" s="1"/>
  <c r="Y55" i="10"/>
  <c r="Y56" i="10"/>
  <c r="Y18" i="10"/>
  <c r="Y8" i="12"/>
  <c r="X6" i="10" s="1"/>
  <c r="Y15" i="10"/>
  <c r="Y132" i="10" s="1"/>
  <c r="Y53" i="10"/>
  <c r="Y54" i="10"/>
  <c r="Y16" i="10"/>
  <c r="Y133" i="10" s="1"/>
  <c r="Y68" i="10"/>
  <c r="AA11" i="12"/>
  <c r="X6" i="12"/>
  <c r="V22" i="10"/>
  <c r="Z22" i="12"/>
  <c r="X18" i="12"/>
  <c r="Y20" i="12"/>
  <c r="AA19" i="12"/>
  <c r="N24" i="7"/>
  <c r="K22" i="7"/>
  <c r="K21" i="7"/>
  <c r="K20" i="7"/>
  <c r="K23" i="7"/>
  <c r="Q4" i="6"/>
  <c r="I3" i="7"/>
  <c r="Q5" i="6"/>
  <c r="I4" i="7"/>
  <c r="Q6" i="6"/>
  <c r="I5" i="7"/>
  <c r="Q9" i="6"/>
  <c r="I8" i="7"/>
  <c r="Q8" i="6"/>
  <c r="I7" i="7"/>
  <c r="Q7" i="6"/>
  <c r="I6" i="7"/>
  <c r="Q12" i="6"/>
  <c r="I11" i="7"/>
  <c r="Q11" i="6"/>
  <c r="I10" i="7"/>
  <c r="Q10" i="6"/>
  <c r="I9" i="7"/>
  <c r="Y262" i="21" l="1"/>
  <c r="Y123" i="21"/>
  <c r="Y264" i="21"/>
  <c r="Y125" i="21"/>
  <c r="Y260" i="21"/>
  <c r="Y121" i="21"/>
  <c r="Y265" i="21"/>
  <c r="Y126" i="21"/>
  <c r="Y259" i="21"/>
  <c r="Y120" i="21"/>
  <c r="Y266" i="21"/>
  <c r="Y127" i="21"/>
  <c r="Y263" i="21"/>
  <c r="Y124" i="21"/>
  <c r="Y261" i="21"/>
  <c r="Y122" i="21"/>
  <c r="Y267" i="21"/>
  <c r="Y128" i="21"/>
  <c r="Z23" i="12"/>
  <c r="X24" i="10"/>
  <c r="X141" i="10" s="1"/>
  <c r="X147" i="10" s="1"/>
  <c r="Y35" i="12"/>
  <c r="Z17" i="12"/>
  <c r="W141" i="10"/>
  <c r="W147" i="10" s="1"/>
  <c r="Z33" i="21"/>
  <c r="AB59" i="21" s="1"/>
  <c r="AA72" i="21" s="1"/>
  <c r="Z32" i="21"/>
  <c r="AB58" i="21" s="1"/>
  <c r="AA71" i="21" s="1"/>
  <c r="Z36" i="21"/>
  <c r="AB62" i="21" s="1"/>
  <c r="AA75" i="21" s="1"/>
  <c r="Z34" i="21"/>
  <c r="AB60" i="21" s="1"/>
  <c r="AA73" i="21" s="1"/>
  <c r="Z31" i="21"/>
  <c r="AB57" i="21" s="1"/>
  <c r="AA70" i="21" s="1"/>
  <c r="Z37" i="21"/>
  <c r="AB63" i="21" s="1"/>
  <c r="AA76" i="21" s="1"/>
  <c r="Z30" i="21"/>
  <c r="AB56" i="21" s="1"/>
  <c r="AA69" i="21" s="1"/>
  <c r="Z35" i="21"/>
  <c r="AB61" i="21" s="1"/>
  <c r="AA74" i="21" s="1"/>
  <c r="W5" i="10"/>
  <c r="W3" i="10"/>
  <c r="W101" i="10"/>
  <c r="W23" i="10"/>
  <c r="W140" i="10" s="1"/>
  <c r="W146" i="10" s="1"/>
  <c r="W21" i="10"/>
  <c r="W138" i="10" s="1"/>
  <c r="W144" i="10" s="1"/>
  <c r="Z29" i="21"/>
  <c r="AB55" i="21" s="1"/>
  <c r="AA68" i="21" s="1"/>
  <c r="X104" i="10"/>
  <c r="W103" i="10"/>
  <c r="AA10" i="12"/>
  <c r="V139" i="10"/>
  <c r="V145" i="10" s="1"/>
  <c r="G151" i="10" s="1"/>
  <c r="Y135" i="10"/>
  <c r="W102" i="10"/>
  <c r="W4" i="10"/>
  <c r="Z8" i="12"/>
  <c r="Y6" i="10" s="1"/>
  <c r="Z15" i="10"/>
  <c r="Z132" i="10" s="1"/>
  <c r="Z53" i="10"/>
  <c r="Z18" i="10"/>
  <c r="Z56" i="10"/>
  <c r="Z17" i="10"/>
  <c r="Z134" i="10" s="1"/>
  <c r="Z55" i="10"/>
  <c r="Z16" i="10"/>
  <c r="Z133" i="10" s="1"/>
  <c r="Z54" i="10"/>
  <c r="Z68" i="10"/>
  <c r="Y6" i="12"/>
  <c r="W22" i="10"/>
  <c r="AA22" i="12"/>
  <c r="Y18" i="12"/>
  <c r="Z20" i="12"/>
  <c r="O24" i="7"/>
  <c r="L21" i="7"/>
  <c r="L20" i="7"/>
  <c r="L23" i="7"/>
  <c r="L22" i="7"/>
  <c r="R10" i="6"/>
  <c r="J9" i="7"/>
  <c r="R12" i="6"/>
  <c r="J11" i="7"/>
  <c r="R8" i="6"/>
  <c r="J7" i="7"/>
  <c r="R6" i="6"/>
  <c r="J5" i="7"/>
  <c r="R4" i="6"/>
  <c r="J3" i="7"/>
  <c r="R11" i="6"/>
  <c r="J10" i="7"/>
  <c r="R7" i="6"/>
  <c r="J6" i="7"/>
  <c r="R9" i="6"/>
  <c r="J8" i="7"/>
  <c r="R5" i="6"/>
  <c r="J4" i="7"/>
  <c r="Z265" i="21" l="1"/>
  <c r="Z126" i="21"/>
  <c r="Z264" i="21"/>
  <c r="Z125" i="21"/>
  <c r="Z260" i="21"/>
  <c r="Z121" i="21"/>
  <c r="Z262" i="21"/>
  <c r="Z123" i="21"/>
  <c r="Z261" i="21"/>
  <c r="Z122" i="21"/>
  <c r="Z263" i="21"/>
  <c r="Z124" i="21"/>
  <c r="Z266" i="21"/>
  <c r="Z127" i="21"/>
  <c r="Z259" i="21"/>
  <c r="Z120" i="21"/>
  <c r="Z267" i="21"/>
  <c r="Z128" i="21"/>
  <c r="AA23" i="12"/>
  <c r="AA17" i="12"/>
  <c r="Z35" i="12"/>
  <c r="Y24" i="10"/>
  <c r="Y104" i="10"/>
  <c r="X103" i="10"/>
  <c r="X101" i="10"/>
  <c r="X3" i="10"/>
  <c r="X23" i="10"/>
  <c r="X140" i="10" s="1"/>
  <c r="X146" i="10" s="1"/>
  <c r="X21" i="10"/>
  <c r="X138" i="10" s="1"/>
  <c r="X144" i="10" s="1"/>
  <c r="Y141" i="10"/>
  <c r="Y147" i="10" s="1"/>
  <c r="X5" i="10"/>
  <c r="G152" i="10"/>
  <c r="G153" i="10"/>
  <c r="W139" i="10"/>
  <c r="W145" i="10" s="1"/>
  <c r="Z135" i="10"/>
  <c r="X102" i="10"/>
  <c r="X4" i="10"/>
  <c r="AA8" i="12"/>
  <c r="Z104" i="10" s="1"/>
  <c r="Z6" i="12"/>
  <c r="Y103" i="10" s="1"/>
  <c r="X22" i="10"/>
  <c r="Z18" i="12"/>
  <c r="AA20" i="12"/>
  <c r="P24" i="7"/>
  <c r="M20" i="7"/>
  <c r="M23" i="7"/>
  <c r="M22" i="7"/>
  <c r="M21" i="7"/>
  <c r="S5" i="6"/>
  <c r="K4" i="7"/>
  <c r="S7" i="6"/>
  <c r="K6" i="7"/>
  <c r="S4" i="6"/>
  <c r="K3" i="7"/>
  <c r="S8" i="6"/>
  <c r="K7" i="7"/>
  <c r="S10" i="6"/>
  <c r="K9" i="7"/>
  <c r="S9" i="6"/>
  <c r="K8" i="7"/>
  <c r="S11" i="6"/>
  <c r="K10" i="7"/>
  <c r="S6" i="6"/>
  <c r="K5" i="7"/>
  <c r="S12" i="6"/>
  <c r="K11" i="7"/>
  <c r="Y5" i="10" l="1"/>
  <c r="AA35" i="12"/>
  <c r="Z24" i="10"/>
  <c r="Y3" i="10"/>
  <c r="Y101" i="10"/>
  <c r="Y23" i="10"/>
  <c r="Y140" i="10" s="1"/>
  <c r="Y146" i="10" s="1"/>
  <c r="Y21" i="10"/>
  <c r="Y138" i="10" s="1"/>
  <c r="Y144" i="10" s="1"/>
  <c r="Z6" i="10"/>
  <c r="X139" i="10"/>
  <c r="X145" i="10" s="1"/>
  <c r="Y102" i="10"/>
  <c r="Y4" i="10"/>
  <c r="AA6" i="12"/>
  <c r="Y22" i="10"/>
  <c r="AA18" i="12"/>
  <c r="Q24" i="7"/>
  <c r="N23" i="7"/>
  <c r="N22" i="7"/>
  <c r="N21" i="7"/>
  <c r="N20" i="7"/>
  <c r="T12" i="6"/>
  <c r="L11" i="7"/>
  <c r="T11" i="6"/>
  <c r="L10" i="7"/>
  <c r="T10" i="6"/>
  <c r="L9" i="7"/>
  <c r="T4" i="6"/>
  <c r="L3" i="7"/>
  <c r="T5" i="6"/>
  <c r="L4" i="7"/>
  <c r="T6" i="6"/>
  <c r="L5" i="7"/>
  <c r="T9" i="6"/>
  <c r="L8" i="7"/>
  <c r="T8" i="6"/>
  <c r="L7" i="7"/>
  <c r="T7" i="6"/>
  <c r="L6" i="7"/>
  <c r="Z141" i="10" l="1"/>
  <c r="Z147" i="10" s="1"/>
  <c r="Z23" i="10"/>
  <c r="Z140" i="10" s="1"/>
  <c r="Z146" i="10" s="1"/>
  <c r="Z21" i="10"/>
  <c r="Z138" i="10" s="1"/>
  <c r="Z144" i="10" s="1"/>
  <c r="H150" i="10" s="1"/>
  <c r="Z4" i="10"/>
  <c r="Z3" i="10"/>
  <c r="Z101" i="10"/>
  <c r="Z103" i="10"/>
  <c r="Z5" i="10"/>
  <c r="Y139" i="10"/>
  <c r="Y145" i="10" s="1"/>
  <c r="Z22" i="10"/>
  <c r="Z139" i="10" s="1"/>
  <c r="Z102" i="10"/>
  <c r="R24" i="7"/>
  <c r="O22" i="7"/>
  <c r="O21" i="7"/>
  <c r="O20" i="7"/>
  <c r="O23" i="7"/>
  <c r="U7" i="6"/>
  <c r="M6" i="7"/>
  <c r="U9" i="6"/>
  <c r="M8" i="7"/>
  <c r="U5" i="6"/>
  <c r="M4" i="7"/>
  <c r="U10" i="6"/>
  <c r="M9" i="7"/>
  <c r="U12" i="6"/>
  <c r="M11" i="7"/>
  <c r="U8" i="6"/>
  <c r="M7" i="7"/>
  <c r="U6" i="6"/>
  <c r="M5" i="7"/>
  <c r="U4" i="6"/>
  <c r="M3" i="7"/>
  <c r="U11" i="6"/>
  <c r="M10" i="7"/>
  <c r="Z145" i="10" l="1"/>
  <c r="H151" i="10" s="1"/>
  <c r="S24" i="7"/>
  <c r="P21" i="7"/>
  <c r="P20" i="7"/>
  <c r="P23" i="7"/>
  <c r="P22" i="7"/>
  <c r="V11" i="6"/>
  <c r="N10" i="7"/>
  <c r="V12" i="6"/>
  <c r="N11" i="7"/>
  <c r="V5" i="6"/>
  <c r="N4" i="7"/>
  <c r="V4" i="6"/>
  <c r="N3" i="7"/>
  <c r="V8" i="6"/>
  <c r="N7" i="7"/>
  <c r="V10" i="6"/>
  <c r="N9" i="7"/>
  <c r="V9" i="6"/>
  <c r="N8" i="7"/>
  <c r="V6" i="6"/>
  <c r="N5" i="7"/>
  <c r="V7" i="6"/>
  <c r="N6" i="7"/>
  <c r="H153" i="10" l="1"/>
  <c r="H152" i="10"/>
  <c r="Q20" i="7"/>
  <c r="Q23" i="7"/>
  <c r="Q22" i="7"/>
  <c r="Q21" i="7"/>
  <c r="W4" i="6"/>
  <c r="O3" i="7"/>
  <c r="W6" i="6"/>
  <c r="O5" i="7"/>
  <c r="W10" i="6"/>
  <c r="O9" i="7"/>
  <c r="W12" i="6"/>
  <c r="O11" i="7"/>
  <c r="W7" i="6"/>
  <c r="O6" i="7"/>
  <c r="W9" i="6"/>
  <c r="O8" i="7"/>
  <c r="W8" i="6"/>
  <c r="O7" i="7"/>
  <c r="W5" i="6"/>
  <c r="O4" i="7"/>
  <c r="W11" i="6"/>
  <c r="O10" i="7"/>
  <c r="R23" i="7" l="1"/>
  <c r="R22" i="7"/>
  <c r="R21" i="7"/>
  <c r="R20" i="7"/>
  <c r="X5" i="6"/>
  <c r="P4" i="7"/>
  <c r="X6" i="6"/>
  <c r="P5" i="7"/>
  <c r="X9" i="6"/>
  <c r="P8" i="7"/>
  <c r="X12" i="6"/>
  <c r="P11" i="7"/>
  <c r="X11" i="6"/>
  <c r="P10" i="7"/>
  <c r="X8" i="6"/>
  <c r="P7" i="7"/>
  <c r="X7" i="6"/>
  <c r="P6" i="7"/>
  <c r="X10" i="6"/>
  <c r="P9" i="7"/>
  <c r="X4" i="6"/>
  <c r="P3" i="7"/>
  <c r="S22" i="7" l="1"/>
  <c r="S21" i="7"/>
  <c r="S20" i="7"/>
  <c r="S23" i="7"/>
  <c r="Y10" i="6"/>
  <c r="Q9" i="7"/>
  <c r="Y12" i="6"/>
  <c r="Q11" i="7"/>
  <c r="Y8" i="6"/>
  <c r="Q7" i="7"/>
  <c r="Y6" i="6"/>
  <c r="Q5" i="7"/>
  <c r="Y4" i="6"/>
  <c r="Q3" i="7"/>
  <c r="Y7" i="6"/>
  <c r="Q6" i="7"/>
  <c r="Y11" i="6"/>
  <c r="Q10" i="7"/>
  <c r="Y9" i="6"/>
  <c r="Q8" i="7"/>
  <c r="Y5" i="6"/>
  <c r="Q4" i="7"/>
  <c r="Z9" i="6" l="1"/>
  <c r="S8" i="7" s="1"/>
  <c r="R8" i="7"/>
  <c r="Z7" i="6"/>
  <c r="S6" i="7" s="1"/>
  <c r="R6" i="7"/>
  <c r="Z6" i="6"/>
  <c r="S5" i="7" s="1"/>
  <c r="R5" i="7"/>
  <c r="Z12" i="6"/>
  <c r="S11" i="7" s="1"/>
  <c r="R11" i="7"/>
  <c r="Z5" i="6"/>
  <c r="S4" i="7" s="1"/>
  <c r="R4" i="7"/>
  <c r="Z11" i="6"/>
  <c r="S10" i="7" s="1"/>
  <c r="R10" i="7"/>
  <c r="Z4" i="6"/>
  <c r="S3" i="7" s="1"/>
  <c r="R3" i="7"/>
  <c r="Z8" i="6"/>
  <c r="S7" i="7" s="1"/>
  <c r="R7" i="7"/>
  <c r="Z10" i="6"/>
  <c r="S9" i="7" s="1"/>
  <c r="R9" i="7"/>
  <c r="T48" i="10" l="1"/>
  <c r="D48" i="10" l="1"/>
  <c r="W48" i="10"/>
  <c r="M48" i="10"/>
  <c r="G48" i="10"/>
  <c r="Y88" i="10"/>
  <c r="D88" i="10"/>
  <c r="J88" i="10"/>
  <c r="P88" i="10"/>
  <c r="W88" i="10"/>
  <c r="R88" i="10"/>
  <c r="F88" i="10"/>
  <c r="Q88" i="10"/>
  <c r="Z88" i="10"/>
  <c r="U88" i="10"/>
  <c r="X88" i="10"/>
  <c r="K88" i="10"/>
  <c r="V88" i="10"/>
  <c r="H88" i="10"/>
  <c r="S88" i="10"/>
  <c r="N88" i="10"/>
  <c r="I88" i="10"/>
  <c r="B88" i="10"/>
  <c r="G88" i="10"/>
  <c r="O88" i="10"/>
  <c r="T88" i="10"/>
  <c r="L88" i="10"/>
  <c r="C88" i="10"/>
  <c r="E88" i="10"/>
  <c r="M88" i="10"/>
  <c r="S48" i="10"/>
  <c r="R48" i="10"/>
  <c r="N48" i="10"/>
  <c r="H48" i="10"/>
  <c r="E48" i="10"/>
  <c r="Z48" i="10"/>
  <c r="K48" i="10"/>
  <c r="I48" i="10"/>
  <c r="C9" i="10"/>
  <c r="P48" i="10"/>
  <c r="U48" i="10"/>
  <c r="X48" i="10"/>
  <c r="L48" i="10"/>
  <c r="J48" i="10"/>
  <c r="B48" i="10"/>
  <c r="Y48" i="10"/>
  <c r="O48" i="10"/>
  <c r="F48" i="10"/>
  <c r="V48" i="10"/>
  <c r="C48" i="10"/>
  <c r="Q48" i="10"/>
  <c r="D9" i="10" l="1"/>
  <c r="E9" i="10" l="1"/>
  <c r="F9" i="10" s="1"/>
  <c r="J4" i="8"/>
  <c r="E10" i="13" s="1"/>
  <c r="G9" i="10" l="1"/>
  <c r="H9" i="10" l="1"/>
  <c r="I9" i="10" l="1"/>
  <c r="J3" i="8" s="1"/>
  <c r="E9" i="13" s="1"/>
  <c r="B9" i="13" l="1"/>
  <c r="J9" i="10"/>
  <c r="B27" i="10"/>
  <c r="C27" i="10" s="1"/>
  <c r="D27" i="10" s="1"/>
  <c r="E27" i="10" s="1"/>
  <c r="F27" i="10" s="1"/>
  <c r="G27" i="10" s="1"/>
  <c r="H27" i="10" s="1"/>
  <c r="I27" i="10" s="1"/>
  <c r="J27" i="10" s="1"/>
  <c r="K27" i="10" s="1"/>
  <c r="L27" i="10" s="1"/>
  <c r="M27" i="10" s="1"/>
  <c r="N27" i="10" s="1"/>
  <c r="O27" i="10" s="1"/>
  <c r="P27" i="10" s="1"/>
  <c r="Q27" i="10" s="1"/>
  <c r="R27" i="10" s="1"/>
  <c r="S27" i="10" s="1"/>
  <c r="T27" i="10" s="1"/>
  <c r="U27" i="10" s="1"/>
  <c r="V27" i="10" s="1"/>
  <c r="W27" i="10" s="1"/>
  <c r="X27" i="10" s="1"/>
  <c r="Y27" i="10" s="1"/>
  <c r="Z27" i="10" s="1"/>
  <c r="K9" i="10" l="1"/>
  <c r="L9" i="10" l="1"/>
  <c r="M9" i="10" l="1"/>
  <c r="N9" i="10" l="1"/>
  <c r="O9" i="10" l="1"/>
  <c r="P9" i="10" l="1"/>
  <c r="Q9" i="10" l="1"/>
  <c r="R9" i="10" l="1"/>
  <c r="S9" i="10" l="1"/>
  <c r="T9" i="10" l="1"/>
  <c r="U9" i="10" l="1"/>
  <c r="V9" i="10" l="1"/>
  <c r="W9" i="10" l="1"/>
  <c r="X9" i="10" l="1"/>
  <c r="Y9" i="10" l="1"/>
  <c r="Z9" i="10" l="1"/>
  <c r="H4" i="8" l="1"/>
  <c r="M4" i="8" s="1"/>
  <c r="C10" i="13" l="1"/>
  <c r="H10" i="13"/>
  <c r="I45" i="10" l="1"/>
  <c r="I86" i="10" l="1"/>
  <c r="I79" i="10" s="1"/>
  <c r="I4" i="8" l="1"/>
  <c r="K4" i="8" s="1"/>
  <c r="F10" i="13" s="1"/>
  <c r="L4" i="8" l="1"/>
  <c r="G10" i="13" s="1"/>
  <c r="D10" i="13"/>
  <c r="N4" i="8" l="1"/>
  <c r="I10" i="13" s="1"/>
  <c r="G45" i="10" l="1"/>
  <c r="H45" i="10"/>
  <c r="H86" i="10" l="1"/>
  <c r="H79" i="10" s="1"/>
  <c r="G86" i="10"/>
  <c r="G79" i="10" s="1"/>
  <c r="F45" i="10"/>
  <c r="F86" i="10" l="1"/>
  <c r="F79" i="10" s="1"/>
  <c r="E45" i="10"/>
  <c r="E86" i="10" l="1"/>
  <c r="E79" i="10" s="1"/>
  <c r="D45" i="10"/>
  <c r="D86" i="10" l="1"/>
  <c r="D79" i="10" s="1"/>
  <c r="C45" i="10"/>
  <c r="C86" i="10" l="1"/>
  <c r="C79" i="10" s="1"/>
  <c r="B45" i="10"/>
  <c r="B86" i="10" l="1"/>
  <c r="B79" i="10" s="1"/>
  <c r="K45" i="10" l="1"/>
  <c r="J45" i="10"/>
  <c r="J86" i="10" l="1"/>
  <c r="J79" i="10" s="1"/>
  <c r="K86" i="10"/>
  <c r="K79" i="10" s="1"/>
  <c r="L45" i="10"/>
  <c r="L86" i="10" l="1"/>
  <c r="L79" i="10" s="1"/>
  <c r="M45" i="10"/>
  <c r="M86" i="10" l="1"/>
  <c r="M79" i="10" s="1"/>
  <c r="N45" i="10"/>
  <c r="N86" i="10" l="1"/>
  <c r="N79" i="10" s="1"/>
  <c r="O45" i="10"/>
  <c r="O86" i="10" l="1"/>
  <c r="O79" i="10" s="1"/>
  <c r="I3" i="8" l="1"/>
  <c r="L3" i="8" s="1"/>
  <c r="G9" i="13" s="1"/>
  <c r="P45" i="10"/>
  <c r="P86" i="10"/>
  <c r="P79" i="10" s="1"/>
  <c r="Q45" i="10"/>
  <c r="D9" i="13" l="1"/>
  <c r="K3" i="8"/>
  <c r="F9" i="13" s="1"/>
  <c r="Q86" i="10"/>
  <c r="Q79" i="10" s="1"/>
  <c r="R45" i="10"/>
  <c r="R86" i="10" l="1"/>
  <c r="R79" i="10" s="1"/>
  <c r="S45" i="10"/>
  <c r="S86" i="10" l="1"/>
  <c r="S79" i="10" s="1"/>
  <c r="T45" i="10"/>
  <c r="T86" i="10" l="1"/>
  <c r="T79" i="10" s="1"/>
  <c r="U45" i="10"/>
  <c r="U86" i="10" l="1"/>
  <c r="U79" i="10" s="1"/>
  <c r="V45" i="10"/>
  <c r="V86" i="10" l="1"/>
  <c r="V79" i="10" s="1"/>
  <c r="W45" i="10"/>
  <c r="W86" i="10" l="1"/>
  <c r="W79" i="10" s="1"/>
  <c r="X45" i="10"/>
  <c r="X86" i="10" l="1"/>
  <c r="X79" i="10" s="1"/>
  <c r="Y45" i="10"/>
  <c r="Y86" i="10" l="1"/>
  <c r="Y79" i="10" s="1"/>
  <c r="Z45" i="10"/>
  <c r="Z86" i="10" l="1"/>
  <c r="Z79" i="10" s="1"/>
  <c r="L16" i="18" l="1"/>
  <c r="M29" i="17" l="1"/>
  <c r="K16" i="18"/>
  <c r="J16" i="18" l="1"/>
  <c r="L29" i="17"/>
  <c r="I16" i="18" l="1"/>
  <c r="J47" i="15"/>
  <c r="K29" i="17"/>
  <c r="J29" i="17" l="1"/>
  <c r="H16" i="18"/>
  <c r="I47" i="15"/>
  <c r="I29" i="17" l="1"/>
  <c r="H47" i="15"/>
  <c r="G16" i="18"/>
  <c r="F16" i="18" l="1"/>
  <c r="G47" i="15"/>
  <c r="H29" i="17"/>
  <c r="H3" i="8"/>
  <c r="E16" i="18" l="1"/>
  <c r="F47" i="15"/>
  <c r="G29" i="17"/>
  <c r="C9" i="13"/>
  <c r="M3" i="8"/>
  <c r="E47" i="15" l="1"/>
  <c r="D16" i="18"/>
  <c r="F29" i="17"/>
  <c r="H9" i="13"/>
  <c r="N3" i="8"/>
  <c r="I9" i="13" s="1"/>
  <c r="C16" i="18" l="1"/>
  <c r="D47" i="15"/>
  <c r="E29" i="17"/>
  <c r="D29" i="17" l="1"/>
  <c r="C47" i="15"/>
  <c r="B16" i="18"/>
  <c r="C29" i="17" l="1"/>
  <c r="B47" i="15"/>
  <c r="L3" i="18" l="1"/>
  <c r="L26" i="6" s="1"/>
  <c r="L68" i="10" s="1"/>
  <c r="L71" i="10" l="1"/>
  <c r="L49" i="10" s="1"/>
  <c r="K3" i="18"/>
  <c r="M12" i="17"/>
  <c r="M71" i="10"/>
  <c r="M49" i="10" s="1"/>
  <c r="L12" i="17" l="1"/>
  <c r="J3" i="18"/>
  <c r="K26" i="6"/>
  <c r="N71" i="10"/>
  <c r="N49" i="10" s="1"/>
  <c r="K68" i="10" l="1"/>
  <c r="K71" i="10" s="1"/>
  <c r="K49" i="10" s="1"/>
  <c r="K12" i="17"/>
  <c r="I3" i="18"/>
  <c r="J26" i="6"/>
  <c r="O71" i="10"/>
  <c r="O49" i="10" s="1"/>
  <c r="J68" i="10" l="1"/>
  <c r="J71" i="10" s="1"/>
  <c r="J49" i="10" s="1"/>
  <c r="H3" i="18"/>
  <c r="J12" i="17"/>
  <c r="I26" i="6"/>
  <c r="P71" i="10"/>
  <c r="P49" i="10" s="1"/>
  <c r="I68" i="10" l="1"/>
  <c r="I71" i="10" s="1"/>
  <c r="I49" i="10" s="1"/>
  <c r="G3" i="18"/>
  <c r="I12" i="17"/>
  <c r="H26" i="6"/>
  <c r="Q71" i="10"/>
  <c r="Q49" i="10" s="1"/>
  <c r="B11" i="13"/>
  <c r="I5" i="8"/>
  <c r="H68" i="10" l="1"/>
  <c r="H71" i="10" s="1"/>
  <c r="H49" i="10" s="1"/>
  <c r="F3" i="18"/>
  <c r="H12" i="17"/>
  <c r="G26" i="6"/>
  <c r="K5" i="8"/>
  <c r="F11" i="13" s="1"/>
  <c r="D11" i="13"/>
  <c r="R71" i="10"/>
  <c r="R49" i="10" s="1"/>
  <c r="G68" i="10" l="1"/>
  <c r="G71" i="10" s="1"/>
  <c r="G49" i="10" s="1"/>
  <c r="E3" i="18"/>
  <c r="G12" i="17"/>
  <c r="F26" i="6"/>
  <c r="S71" i="10"/>
  <c r="S49" i="10" s="1"/>
  <c r="F68" i="10" l="1"/>
  <c r="F71" i="10" s="1"/>
  <c r="F49" i="10" s="1"/>
  <c r="D3" i="18"/>
  <c r="F12" i="17"/>
  <c r="E26" i="6"/>
  <c r="E68" i="10" s="1"/>
  <c r="T71" i="10"/>
  <c r="T49" i="10" s="1"/>
  <c r="E71" i="10" l="1"/>
  <c r="E49" i="10" s="1"/>
  <c r="C3" i="18"/>
  <c r="D26" i="6"/>
  <c r="E12" i="17"/>
  <c r="U71" i="10"/>
  <c r="U49" i="10" s="1"/>
  <c r="D68" i="10" l="1"/>
  <c r="D71" i="10" s="1"/>
  <c r="D49" i="10" s="1"/>
  <c r="B3" i="18"/>
  <c r="D12" i="17"/>
  <c r="C26" i="6"/>
  <c r="V71" i="10"/>
  <c r="V49" i="10" s="1"/>
  <c r="C68" i="10" l="1"/>
  <c r="C71" i="10" s="1"/>
  <c r="C49" i="10" s="1"/>
  <c r="B26" i="6"/>
  <c r="B68" i="10" s="1"/>
  <c r="C12" i="17"/>
  <c r="W71" i="10"/>
  <c r="W49" i="10" s="1"/>
  <c r="B71" i="10" l="1"/>
  <c r="B49" i="10" s="1"/>
  <c r="B52" i="6"/>
  <c r="X71" i="10"/>
  <c r="X49" i="10" s="1"/>
  <c r="Y71" i="10" l="1"/>
  <c r="Y49" i="10" s="1"/>
  <c r="Z71" i="10" l="1"/>
  <c r="Z49" i="10" s="1"/>
  <c r="L10" i="18" l="1"/>
  <c r="M21" i="17" s="1"/>
  <c r="K10" i="18" l="1"/>
  <c r="J10" i="18" s="1"/>
  <c r="L21" i="17" l="1"/>
  <c r="I10" i="18"/>
  <c r="J23" i="15"/>
  <c r="K21" i="17"/>
  <c r="L7" i="18"/>
  <c r="J21" i="17" l="1"/>
  <c r="H10" i="18"/>
  <c r="I23" i="15"/>
  <c r="L20" i="18"/>
  <c r="M24" i="12" s="1"/>
  <c r="M17" i="17"/>
  <c r="L23" i="18"/>
  <c r="M12" i="12" s="1"/>
  <c r="L47" i="10" l="1"/>
  <c r="L89" i="10"/>
  <c r="L80" i="10" s="1"/>
  <c r="L81" i="10" s="1"/>
  <c r="L46" i="10"/>
  <c r="L87" i="10"/>
  <c r="G10" i="18"/>
  <c r="H23" i="15"/>
  <c r="I21" i="17"/>
  <c r="N24" i="12"/>
  <c r="N12" i="12"/>
  <c r="N142" i="21" s="1"/>
  <c r="M87" i="10" l="1"/>
  <c r="M46" i="10"/>
  <c r="M89" i="10"/>
  <c r="M80" i="10" s="1"/>
  <c r="M81" i="10" s="1"/>
  <c r="M47" i="10"/>
  <c r="F10" i="18"/>
  <c r="G23" i="15"/>
  <c r="H21" i="17"/>
  <c r="O12" i="12"/>
  <c r="O142" i="21" s="1"/>
  <c r="O24" i="12"/>
  <c r="N47" i="10" l="1"/>
  <c r="N89" i="10"/>
  <c r="N80" i="10" s="1"/>
  <c r="N81" i="10" s="1"/>
  <c r="N46" i="10"/>
  <c r="N87" i="10"/>
  <c r="E10" i="18"/>
  <c r="F23" i="15"/>
  <c r="G21" i="17"/>
  <c r="P12" i="12"/>
  <c r="P142" i="21" s="1"/>
  <c r="P24" i="12"/>
  <c r="O47" i="10" l="1"/>
  <c r="O89" i="10"/>
  <c r="O80" i="10" s="1"/>
  <c r="O81" i="10" s="1"/>
  <c r="O46" i="10"/>
  <c r="O87" i="10"/>
  <c r="F21" i="17"/>
  <c r="D10" i="18"/>
  <c r="E23" i="15"/>
  <c r="Q24" i="12"/>
  <c r="Q12" i="12"/>
  <c r="Q142" i="21" s="1"/>
  <c r="P47" i="10" l="1"/>
  <c r="P89" i="10"/>
  <c r="P80" i="10" s="1"/>
  <c r="P81" i="10" s="1"/>
  <c r="P46" i="10"/>
  <c r="P87" i="10"/>
  <c r="C10" i="18"/>
  <c r="D23" i="15"/>
  <c r="E21" i="17"/>
  <c r="R12" i="12"/>
  <c r="R142" i="21" s="1"/>
  <c r="H5" i="8"/>
  <c r="L5" i="8"/>
  <c r="R24" i="12"/>
  <c r="Q89" i="10" l="1"/>
  <c r="Q47" i="10"/>
  <c r="Q46" i="10"/>
  <c r="Q87" i="10"/>
  <c r="Q80" i="10"/>
  <c r="Q81" i="10" s="1"/>
  <c r="B10" i="18"/>
  <c r="D21" i="17"/>
  <c r="C23" i="15"/>
  <c r="G11" i="13"/>
  <c r="C11" i="13"/>
  <c r="M5" i="8"/>
  <c r="H11" i="13" s="1"/>
  <c r="S24" i="12"/>
  <c r="S12" i="12"/>
  <c r="S142" i="21" s="1"/>
  <c r="R46" i="10" l="1"/>
  <c r="R87" i="10"/>
  <c r="R47" i="10"/>
  <c r="R89" i="10"/>
  <c r="R80" i="10" s="1"/>
  <c r="R81" i="10" s="1"/>
  <c r="B23" i="15"/>
  <c r="C21" i="17"/>
  <c r="N5" i="8"/>
  <c r="I11" i="13" s="1"/>
  <c r="T12" i="12"/>
  <c r="T142" i="21" s="1"/>
  <c r="T24" i="12"/>
  <c r="S47" i="10" l="1"/>
  <c r="S89" i="10"/>
  <c r="S80" i="10" s="1"/>
  <c r="S81" i="10" s="1"/>
  <c r="S46" i="10"/>
  <c r="S87" i="10"/>
  <c r="U24" i="12"/>
  <c r="U12" i="12"/>
  <c r="U142" i="21" s="1"/>
  <c r="T87" i="10" l="1"/>
  <c r="T46" i="10"/>
  <c r="T47" i="10"/>
  <c r="T89" i="10"/>
  <c r="T80" i="10" s="1"/>
  <c r="T81" i="10" s="1"/>
  <c r="V12" i="12"/>
  <c r="V142" i="21" s="1"/>
  <c r="V24" i="12"/>
  <c r="U46" i="10" l="1"/>
  <c r="U87" i="10"/>
  <c r="U89" i="10"/>
  <c r="U80" i="10" s="1"/>
  <c r="U81" i="10" s="1"/>
  <c r="U47" i="10"/>
  <c r="W24" i="12"/>
  <c r="W12" i="12"/>
  <c r="W142" i="21" s="1"/>
  <c r="V46" i="10" l="1"/>
  <c r="V87" i="10"/>
  <c r="V89" i="10"/>
  <c r="V80" i="10" s="1"/>
  <c r="V81" i="10" s="1"/>
  <c r="V47" i="10"/>
  <c r="X12" i="12"/>
  <c r="X142" i="21" s="1"/>
  <c r="X24" i="12"/>
  <c r="W89" i="10" l="1"/>
  <c r="W47" i="10"/>
  <c r="W87" i="10"/>
  <c r="W46" i="10"/>
  <c r="W80" i="10"/>
  <c r="W81" i="10" s="1"/>
  <c r="Y24" i="12"/>
  <c r="Y12" i="12"/>
  <c r="Y142" i="21" s="1"/>
  <c r="X46" i="10" l="1"/>
  <c r="X87" i="10"/>
  <c r="X47" i="10"/>
  <c r="X89" i="10"/>
  <c r="X80" i="10" s="1"/>
  <c r="X81" i="10" s="1"/>
  <c r="Z12" i="12"/>
  <c r="Z142" i="21" s="1"/>
  <c r="Z24" i="12"/>
  <c r="Y46" i="10" l="1"/>
  <c r="Y87" i="10"/>
  <c r="Y89" i="10"/>
  <c r="Y80" i="10" s="1"/>
  <c r="Y81" i="10" s="1"/>
  <c r="Y47" i="10"/>
  <c r="AA24" i="12"/>
  <c r="AA12" i="12"/>
  <c r="AA142" i="21" s="1"/>
  <c r="Z46" i="10" l="1"/>
  <c r="Z87" i="10"/>
  <c r="Z89" i="10"/>
  <c r="Z80" i="10" s="1"/>
  <c r="Z81" i="10" s="1"/>
  <c r="Z47" i="10"/>
  <c r="K7" i="18"/>
  <c r="J7" i="18" s="1"/>
  <c r="K23" i="18" l="1"/>
  <c r="L12" i="12" s="1"/>
  <c r="L17" i="17"/>
  <c r="K20" i="18"/>
  <c r="L24" i="12" s="1"/>
  <c r="L142" i="21" s="1"/>
  <c r="M142" i="21" s="1"/>
  <c r="J23" i="18"/>
  <c r="K12" i="12" s="1"/>
  <c r="I7" i="18"/>
  <c r="J11" i="15"/>
  <c r="K24" i="12" s="1"/>
  <c r="K142" i="21" s="1"/>
  <c r="J20" i="18"/>
  <c r="K17" i="17"/>
  <c r="J46" i="10" l="1"/>
  <c r="J87" i="10"/>
  <c r="K47" i="10"/>
  <c r="K89" i="10"/>
  <c r="K80" i="10" s="1"/>
  <c r="K81" i="10" s="1"/>
  <c r="J47" i="10"/>
  <c r="J89" i="10"/>
  <c r="J80" i="10" s="1"/>
  <c r="J81" i="10" s="1"/>
  <c r="K87" i="10"/>
  <c r="K46" i="10"/>
  <c r="I11" i="15"/>
  <c r="J24" i="12" s="1"/>
  <c r="J142" i="21" s="1"/>
  <c r="I20" i="18"/>
  <c r="H7" i="18"/>
  <c r="I23" i="18"/>
  <c r="J12" i="12" s="1"/>
  <c r="J17" i="17"/>
  <c r="I46" i="10" l="1"/>
  <c r="I87" i="10"/>
  <c r="I47" i="10"/>
  <c r="I89" i="10"/>
  <c r="I80" i="10" s="1"/>
  <c r="I81" i="10" s="1"/>
  <c r="H23" i="18"/>
  <c r="I12" i="12" s="1"/>
  <c r="I17" i="17"/>
  <c r="G7" i="18"/>
  <c r="H11" i="15"/>
  <c r="I24" i="12" s="1"/>
  <c r="I142" i="21" s="1"/>
  <c r="H20" i="18"/>
  <c r="H87" i="10" l="1"/>
  <c r="H46" i="10"/>
  <c r="H47" i="10"/>
  <c r="H89" i="10"/>
  <c r="H80" i="10" s="1"/>
  <c r="H81" i="10" s="1"/>
  <c r="F7" i="18"/>
  <c r="G20" i="18"/>
  <c r="H17" i="17"/>
  <c r="G23" i="18"/>
  <c r="H12" i="12" s="1"/>
  <c r="G11" i="15"/>
  <c r="H24" i="12" s="1"/>
  <c r="H142" i="21" s="1"/>
  <c r="G89" i="10" l="1"/>
  <c r="G80" i="10" s="1"/>
  <c r="G81" i="10" s="1"/>
  <c r="G47" i="10"/>
  <c r="G46" i="10"/>
  <c r="G87" i="10"/>
  <c r="E7" i="18"/>
  <c r="F11" i="15"/>
  <c r="G24" i="12" s="1"/>
  <c r="G142" i="21" s="1"/>
  <c r="F20" i="18"/>
  <c r="F23" i="18"/>
  <c r="G12" i="12" s="1"/>
  <c r="G17" i="17"/>
  <c r="F89" i="10" l="1"/>
  <c r="F80" i="10" s="1"/>
  <c r="F81" i="10" s="1"/>
  <c r="F47" i="10"/>
  <c r="F46" i="10"/>
  <c r="F87" i="10"/>
  <c r="E11" i="15"/>
  <c r="F24" i="12" s="1"/>
  <c r="F142" i="21" s="1"/>
  <c r="E23" i="18"/>
  <c r="F12" i="12" s="1"/>
  <c r="D7" i="18"/>
  <c r="E20" i="18"/>
  <c r="F17" i="17"/>
  <c r="E87" i="10" l="1"/>
  <c r="E46" i="10"/>
  <c r="E47" i="10"/>
  <c r="E89" i="10"/>
  <c r="E80" i="10" s="1"/>
  <c r="E81" i="10" s="1"/>
  <c r="D20" i="18"/>
  <c r="E17" i="17"/>
  <c r="D23" i="18"/>
  <c r="E12" i="12" s="1"/>
  <c r="C7" i="18"/>
  <c r="D11" i="15"/>
  <c r="E24" i="12" s="1"/>
  <c r="E142" i="21" s="1"/>
  <c r="D87" i="10" l="1"/>
  <c r="D46" i="10"/>
  <c r="D47" i="10"/>
  <c r="D89" i="10"/>
  <c r="D80" i="10" s="1"/>
  <c r="D81" i="10" s="1"/>
  <c r="B7" i="18"/>
  <c r="C20" i="18"/>
  <c r="D17" i="17"/>
  <c r="C23" i="18"/>
  <c r="D12" i="12" s="1"/>
  <c r="C11" i="15"/>
  <c r="D24" i="12" s="1"/>
  <c r="D142" i="21" s="1"/>
  <c r="C89" i="10" l="1"/>
  <c r="C47" i="10"/>
  <c r="C46" i="10"/>
  <c r="C87" i="10"/>
  <c r="C80" i="10"/>
  <c r="C81" i="10" s="1"/>
  <c r="B23" i="18"/>
  <c r="C12" i="12" s="1"/>
  <c r="B11" i="15"/>
  <c r="C24" i="12" s="1"/>
  <c r="C142" i="21" s="1"/>
  <c r="B20" i="18"/>
  <c r="C17" i="17"/>
  <c r="B47" i="10" l="1"/>
  <c r="B89" i="10"/>
  <c r="B80" i="10" s="1"/>
  <c r="B81" i="10" s="1"/>
  <c r="B87" i="10"/>
  <c r="B46" i="10"/>
</calcChain>
</file>

<file path=xl/comments1.xml><?xml version="1.0" encoding="utf-8"?>
<comments xmlns="http://schemas.openxmlformats.org/spreadsheetml/2006/main">
  <authors>
    <author>Dmitry Grozoubinski</author>
    <author>Grozoubinski, Dmitry</author>
  </authors>
  <commentList>
    <comment ref="B2" authorId="0">
      <text>
        <r>
          <rPr>
            <sz val="14"/>
            <color indexed="81"/>
            <rFont val="Tahoma"/>
            <family val="2"/>
          </rPr>
          <t xml:space="preserve">This calculator comes with data for the top 9 agricultural traders who had notifications for 2006-2010 pre-programmed. 
</t>
        </r>
        <r>
          <rPr>
            <b/>
            <sz val="14"/>
            <color indexed="81"/>
            <rFont val="Tahoma"/>
            <family val="2"/>
          </rPr>
          <t xml:space="preserve">
You can however enter data for any Member, or even for an imaginary Member. 
</t>
        </r>
        <r>
          <rPr>
            <sz val="14"/>
            <color indexed="81"/>
            <rFont val="Tahoma"/>
            <family val="2"/>
          </rPr>
          <t xml:space="preserve">To do so, simply create a new Member under "Custom Member Setup" tab below. Enter the required data and then return to this tab and select the new Member from the drop down list. </t>
        </r>
        <r>
          <rPr>
            <b/>
            <sz val="14"/>
            <color indexed="81"/>
            <rFont val="Tahoma"/>
            <family val="2"/>
          </rPr>
          <t xml:space="preserve">
</t>
        </r>
        <r>
          <rPr>
            <b/>
            <sz val="9"/>
            <color indexed="81"/>
            <rFont val="Tahoma"/>
            <family val="2"/>
          </rPr>
          <t xml:space="preserve">
</t>
        </r>
      </text>
    </comment>
    <comment ref="F8" authorId="1">
      <text>
        <r>
          <rPr>
            <b/>
            <sz val="12"/>
            <color indexed="81"/>
            <rFont val="Tahoma"/>
            <family val="2"/>
          </rPr>
          <t xml:space="preserve">Select one of the four Members to display their results in the graph below. </t>
        </r>
      </text>
    </comment>
    <comment ref="D10" authorId="1">
      <text>
        <r>
          <rPr>
            <b/>
            <sz val="12"/>
            <color indexed="81"/>
            <rFont val="Tahoma"/>
            <family val="2"/>
          </rPr>
          <t xml:space="preserve">Set an expected growth rate for value of production for all selected Members. This growth rate will be used for all years after the last FAO data point (2013 as at September 2016)
Average VoP Growth Rates: 06-13:
</t>
        </r>
        <r>
          <rPr>
            <sz val="12"/>
            <color indexed="81"/>
            <rFont val="Tahoma"/>
            <family val="2"/>
          </rPr>
          <t>Australia: 11%
Brazil: 17%
Canada: 15%
China: 14%
European Union: 5%
India: 8%
Indonesia: 17%
Japan: 3%
United States of America: 9%</t>
        </r>
        <r>
          <rPr>
            <sz val="14"/>
            <color indexed="81"/>
            <rFont val="Tahoma"/>
            <family val="2"/>
          </rPr>
          <t xml:space="preserve">
</t>
        </r>
      </text>
    </comment>
    <comment ref="H10" authorId="1">
      <text>
        <r>
          <rPr>
            <b/>
            <sz val="12"/>
            <color indexed="81"/>
            <rFont val="Tahoma"/>
            <family val="2"/>
          </rPr>
          <t xml:space="preserve">Toggle displaying below the selected Member's historical and projected limits under the Agreement on Agriculture. </t>
        </r>
      </text>
    </comment>
    <comment ref="J10" authorId="1">
      <text>
        <r>
          <rPr>
            <b/>
            <sz val="12"/>
            <color indexed="81"/>
            <rFont val="Tahoma"/>
            <family val="2"/>
          </rPr>
          <t xml:space="preserve">Toggle displaying below the selected Member's historical and projected total Trade Distorting Support (Article 6) spending.
This includes spending notified under AMS, De Minimis, Blue Box and Article 6.2.  </t>
        </r>
      </text>
    </comment>
    <comment ref="D11" authorId="1">
      <text>
        <r>
          <rPr>
            <b/>
            <sz val="12"/>
            <color indexed="81"/>
            <rFont val="Tahoma"/>
            <family val="2"/>
          </rPr>
          <t xml:space="preserve">Select a projected growth rate for total Trade Distorting Support (all Article 6 spending) for all Members.
</t>
        </r>
        <r>
          <rPr>
            <sz val="12"/>
            <color indexed="81"/>
            <rFont val="Tahoma"/>
            <family val="2"/>
          </rPr>
          <t>Notified levels of Domestic Support spending will be used for all years where they are available. For subsequent years and years in the future, the TDS Growth Rate will be used to project a level of TDS spending.</t>
        </r>
      </text>
    </comment>
    <comment ref="H11" authorId="1">
      <text>
        <r>
          <rPr>
            <b/>
            <sz val="12"/>
            <color indexed="81"/>
            <rFont val="Tahoma"/>
            <family val="2"/>
          </rPr>
          <t>Toggle displaying below an OTDS limit for the selected Member's according to the parameters set up on the left under "Variables (OTDS)".</t>
        </r>
      </text>
    </comment>
    <comment ref="J11" authorId="1">
      <text>
        <r>
          <rPr>
            <b/>
            <sz val="12"/>
            <color indexed="81"/>
            <rFont val="Tahoma"/>
            <family val="2"/>
          </rPr>
          <t xml:space="preserve">Toggle displaying below the selected Member's historical and projected spending as notified under the AMS and De Minimis categories and projected into the future using the selected growth rates. </t>
        </r>
      </text>
    </comment>
    <comment ref="D12" authorId="1">
      <text>
        <r>
          <rPr>
            <b/>
            <sz val="12"/>
            <color indexed="81"/>
            <rFont val="Tahoma"/>
            <family val="2"/>
          </rPr>
          <t>Select a single snapshot year between 2006 and 2030 for which to display detailed information for up to four Members.</t>
        </r>
      </text>
    </comment>
    <comment ref="H12" authorId="1">
      <text>
        <r>
          <rPr>
            <b/>
            <sz val="12"/>
            <color indexed="81"/>
            <rFont val="Tahoma"/>
            <family val="2"/>
          </rPr>
          <t xml:space="preserve">Toggle displaying below a new combined AMS and De Minimis limit for the selected Member. 
These will be based on the changes to the AoA selected under "Variables (AoA Modified for &lt;Member&gt;)" on the bottom left hand side of the screen. </t>
        </r>
      </text>
    </comment>
    <comment ref="J12" authorId="1">
      <text>
        <r>
          <rPr>
            <b/>
            <sz val="12"/>
            <color indexed="81"/>
            <rFont val="Tahoma"/>
            <family val="2"/>
          </rPr>
          <t xml:space="preserve">Toggle displaying a bar graph comparing two of the lines of the graph below. 
</t>
        </r>
        <r>
          <rPr>
            <sz val="12"/>
            <color indexed="81"/>
            <rFont val="Tahoma"/>
            <family val="2"/>
          </rPr>
          <t xml:space="preserve">Comparing a limit against spending will display how much water will remain in each year. 
Comparing two limits will display the size of the limit cut. </t>
        </r>
      </text>
    </comment>
    <comment ref="C14" authorId="1">
      <text>
        <r>
          <rPr>
            <b/>
            <sz val="12"/>
            <color indexed="81"/>
            <rFont val="Tahoma"/>
            <family val="2"/>
          </rPr>
          <t xml:space="preserve">Set optional custom Value of Production growth rates for each Member. 
</t>
        </r>
        <r>
          <rPr>
            <sz val="12"/>
            <color indexed="81"/>
            <rFont val="Tahoma"/>
            <family val="2"/>
          </rPr>
          <t>As at September 2016, data is available from FAO Stat for 2006-2013. Beyond this point, it will use either the general VoP Growth Rate (D10) or the custom rate set below. 
Average VoP Growth Rates: 06-13:
Australia: 11%
Brazil: 17%
Canada: 15%
China: 14%
European Union: 5%
India: 8%
Indonesia: 17%
Japan: 3%
United States of America: 9%</t>
        </r>
      </text>
    </comment>
    <comment ref="D14" authorId="1">
      <text>
        <r>
          <rPr>
            <b/>
            <sz val="12"/>
            <color indexed="81"/>
            <rFont val="Tahoma"/>
            <family val="2"/>
          </rPr>
          <t xml:space="preserve">Set an optional custom growth rate for total Trade Distorting Support (Article 6) for each Member. 
</t>
        </r>
        <r>
          <rPr>
            <sz val="12"/>
            <color indexed="81"/>
            <rFont val="Tahoma"/>
            <family val="2"/>
          </rPr>
          <t xml:space="preserve">Notified domestic support values will be used for all years for which they are available. For subsequent years, a projected value will be calculated using either the Common TDS Growth Rate (D11) or a custom rate set below. </t>
        </r>
      </text>
    </comment>
    <comment ref="B21" authorId="1">
      <text>
        <r>
          <rPr>
            <b/>
            <sz val="12"/>
            <color indexed="81"/>
            <rFont val="Tahoma"/>
            <family val="2"/>
          </rPr>
          <t xml:space="preserve">This interface allows you to set a an "Overall Trade Distorting Support"  or OTDS level for the selected Members.
</t>
        </r>
        <r>
          <rPr>
            <sz val="12"/>
            <color indexed="81"/>
            <rFont val="Tahoma"/>
            <family val="2"/>
          </rPr>
          <t xml:space="preserve">The OTDS model this uses takes a percentage of a Member's Value of Production in a select Reference Year as their permaennt maximum level of OTDS. 
You can select the reference year and the percentage used for developing and developed Members below. </t>
        </r>
        <r>
          <rPr>
            <b/>
            <sz val="12"/>
            <color indexed="81"/>
            <rFont val="Tahoma"/>
            <family val="2"/>
          </rPr>
          <t xml:space="preserve"> </t>
        </r>
        <r>
          <rPr>
            <b/>
            <sz val="9"/>
            <color indexed="81"/>
            <rFont val="Tahoma"/>
            <family val="2"/>
          </rPr>
          <t xml:space="preserve">
</t>
        </r>
      </text>
    </comment>
    <comment ref="D23" authorId="1">
      <text>
        <r>
          <rPr>
            <b/>
            <sz val="12"/>
            <color indexed="81"/>
            <rFont val="Tahoma"/>
            <family val="2"/>
          </rPr>
          <t xml:space="preserve">Set a reference year for the OTDS calculation. 
</t>
        </r>
        <r>
          <rPr>
            <sz val="12"/>
            <color indexed="81"/>
            <rFont val="Tahoma"/>
            <family val="2"/>
          </rPr>
          <t xml:space="preserve">You can select either a year between 2006 and 2030 or 'Average'. 
If you select average, an interface will prompt you to select the range of years to form the average value. The average values of production for that range will become the "reference" for determining the OTDS limit. </t>
        </r>
      </text>
    </comment>
    <comment ref="D25" authorId="1">
      <text>
        <r>
          <rPr>
            <b/>
            <sz val="12"/>
            <color indexed="81"/>
            <rFont val="Tahoma"/>
            <family val="2"/>
          </rPr>
          <t xml:space="preserve">This will be the percentage of a developing Member's Value of Production in the Reference Year set above (D23) which determines its OTDS limit. </t>
        </r>
      </text>
    </comment>
    <comment ref="D26" authorId="1">
      <text>
        <r>
          <rPr>
            <b/>
            <sz val="12"/>
            <color indexed="81"/>
            <rFont val="Tahoma"/>
            <family val="2"/>
          </rPr>
          <t>This will be the percentage of a developed Member's Value of Production in the Reference Year set above (D23) which determines its OTDS limit.</t>
        </r>
      </text>
    </comment>
    <comment ref="D29" authorId="1">
      <text>
        <r>
          <rPr>
            <b/>
            <sz val="12"/>
            <color indexed="81"/>
            <rFont val="Tahoma"/>
            <family val="2"/>
          </rPr>
          <t xml:space="preserve">Increase or decrease the de minimis percentage for the selected Member. 
</t>
        </r>
        <r>
          <rPr>
            <sz val="12"/>
            <color indexed="81"/>
            <rFont val="Tahoma"/>
            <family val="2"/>
          </rPr>
          <t>Note that de minimis applies to both PS and NPS, so a 1% reduction in de minimis is a 2% cut overall. 
Under the AoA, de minimis rates are:</t>
        </r>
        <r>
          <rPr>
            <b/>
            <sz val="12"/>
            <color indexed="81"/>
            <rFont val="Tahoma"/>
            <family val="2"/>
          </rPr>
          <t xml:space="preserve">
</t>
        </r>
        <r>
          <rPr>
            <sz val="12"/>
            <color indexed="81"/>
            <rFont val="Tahoma"/>
            <family val="2"/>
          </rPr>
          <t>Australia: 5%
Canada:5%
China: 8.5%
European Union: 5%
India: 10%
Indonesia: 10%
Japan: 5%
United States of America: 5%</t>
        </r>
        <r>
          <rPr>
            <b/>
            <sz val="9"/>
            <color indexed="81"/>
            <rFont val="Tahoma"/>
            <family val="2"/>
          </rPr>
          <t xml:space="preserve">
</t>
        </r>
      </text>
    </comment>
    <comment ref="D30" authorId="1">
      <text>
        <r>
          <rPr>
            <b/>
            <sz val="12"/>
            <color indexed="81"/>
            <rFont val="Tahoma"/>
            <family val="2"/>
          </rPr>
          <t xml:space="preserve">Increase or decrease how many millions of USD in AMS a Member has access to. 
</t>
        </r>
        <r>
          <rPr>
            <sz val="12"/>
            <color indexed="81"/>
            <rFont val="Tahoma"/>
            <family val="2"/>
          </rPr>
          <t>Under the AoA, members have access to:</t>
        </r>
        <r>
          <rPr>
            <b/>
            <sz val="12"/>
            <color indexed="81"/>
            <rFont val="Tahoma"/>
            <family val="2"/>
          </rPr>
          <t xml:space="preserve">
Australia:  </t>
        </r>
        <r>
          <rPr>
            <sz val="12"/>
            <color indexed="81"/>
            <rFont val="Tahoma"/>
            <family val="2"/>
          </rPr>
          <t>$448,112,400</t>
        </r>
        <r>
          <rPr>
            <b/>
            <sz val="12"/>
            <color indexed="81"/>
            <rFont val="Tahoma"/>
            <family val="2"/>
          </rPr>
          <t xml:space="preserve">     
Brazil:  </t>
        </r>
        <r>
          <rPr>
            <sz val="12"/>
            <color indexed="81"/>
            <rFont val="Tahoma"/>
            <family val="2"/>
          </rPr>
          <t>$912,105,150</t>
        </r>
        <r>
          <rPr>
            <b/>
            <sz val="12"/>
            <color indexed="81"/>
            <rFont val="Tahoma"/>
            <family val="2"/>
          </rPr>
          <t xml:space="preserve">     
Canada:  </t>
        </r>
        <r>
          <rPr>
            <sz val="12"/>
            <color indexed="81"/>
            <rFont val="Tahoma"/>
            <family val="2"/>
          </rPr>
          <t>$4,070,857,191</t>
        </r>
        <r>
          <rPr>
            <b/>
            <sz val="12"/>
            <color indexed="81"/>
            <rFont val="Tahoma"/>
            <family val="2"/>
          </rPr>
          <t xml:space="preserve">     
China:  </t>
        </r>
        <r>
          <rPr>
            <sz val="12"/>
            <color indexed="81"/>
            <rFont val="Tahoma"/>
            <family val="2"/>
          </rPr>
          <t>$0</t>
        </r>
        <r>
          <rPr>
            <b/>
            <sz val="12"/>
            <color indexed="81"/>
            <rFont val="Tahoma"/>
            <family val="2"/>
          </rPr>
          <t xml:space="preserve">
European Union:  </t>
        </r>
        <r>
          <rPr>
            <sz val="12"/>
            <color indexed="81"/>
            <rFont val="Tahoma"/>
            <family val="2"/>
          </rPr>
          <t>$94,377,032,796</t>
        </r>
        <r>
          <rPr>
            <b/>
            <sz val="12"/>
            <color indexed="81"/>
            <rFont val="Tahoma"/>
            <family val="2"/>
          </rPr>
          <t xml:space="preserve">     
India:  </t>
        </r>
        <r>
          <rPr>
            <sz val="12"/>
            <color indexed="81"/>
            <rFont val="Tahoma"/>
            <family val="2"/>
          </rPr>
          <t>$0</t>
        </r>
        <r>
          <rPr>
            <b/>
            <sz val="12"/>
            <color indexed="81"/>
            <rFont val="Tahoma"/>
            <family val="2"/>
          </rPr>
          <t xml:space="preserve">     
Indonesia:  </t>
        </r>
        <r>
          <rPr>
            <sz val="12"/>
            <color indexed="81"/>
            <rFont val="Tahoma"/>
            <family val="2"/>
          </rPr>
          <t>$0</t>
        </r>
        <r>
          <rPr>
            <b/>
            <sz val="12"/>
            <color indexed="81"/>
            <rFont val="Tahoma"/>
            <family val="2"/>
          </rPr>
          <t xml:space="preserve">     
Japan:  </t>
        </r>
        <r>
          <rPr>
            <sz val="12"/>
            <color indexed="81"/>
            <rFont val="Tahoma"/>
            <family val="2"/>
          </rPr>
          <t xml:space="preserve">$40,297,791,112     </t>
        </r>
        <r>
          <rPr>
            <b/>
            <sz val="12"/>
            <color indexed="81"/>
            <rFont val="Tahoma"/>
            <family val="2"/>
          </rPr>
          <t xml:space="preserve">
United States of America:  </t>
        </r>
        <r>
          <rPr>
            <sz val="12"/>
            <color indexed="81"/>
            <rFont val="Tahoma"/>
            <family val="2"/>
          </rPr>
          <t>$19,100,000,000</t>
        </r>
        <r>
          <rPr>
            <b/>
            <sz val="12"/>
            <color indexed="81"/>
            <rFont val="Tahoma"/>
            <family val="2"/>
          </rPr>
          <t xml:space="preserve">   
</t>
        </r>
        <r>
          <rPr>
            <b/>
            <sz val="9"/>
            <color indexed="81"/>
            <rFont val="Tahoma"/>
            <family val="2"/>
          </rPr>
          <t xml:space="preserve">
</t>
        </r>
      </text>
    </comment>
    <comment ref="D31" authorId="1">
      <text>
        <r>
          <rPr>
            <b/>
            <sz val="12"/>
            <color indexed="81"/>
            <rFont val="Tahoma"/>
            <family val="2"/>
          </rPr>
          <t xml:space="preserve">Modify the final limit of a Member by either a percentage value or a value in millions of US dollars. 
</t>
        </r>
        <r>
          <rPr>
            <sz val="12"/>
            <color indexed="81"/>
            <rFont val="Tahoma"/>
            <family val="2"/>
          </rPr>
          <t xml:space="preserve">Note that the calculation will first account for any de minimis and AMS changes you may have made above, and then calculate the 'misc' modification based off the new limit. 
For example, if you set a reduced de minimis for Australia of 1% and a misc reduction of 3%, it would calculate Australia's limit as if Australia had 4% de minimis and then subtract 3% from that value to arrive at the modified AoA figure. </t>
        </r>
      </text>
    </comment>
  </commentList>
</comments>
</file>

<file path=xl/comments2.xml><?xml version="1.0" encoding="utf-8"?>
<comments xmlns="http://schemas.openxmlformats.org/spreadsheetml/2006/main">
  <authors>
    <author>Grozoubinski, Dmitry</author>
  </authors>
  <commentList>
    <comment ref="A4" authorId="0">
      <text>
        <r>
          <rPr>
            <sz val="14"/>
            <color indexed="81"/>
            <rFont val="Tahoma"/>
            <family val="2"/>
          </rPr>
          <t>OTDS will be this percentage of the Member's value of production in the reference year.</t>
        </r>
        <r>
          <rPr>
            <sz val="9"/>
            <color indexed="81"/>
            <rFont val="Tahoma"/>
            <family val="2"/>
          </rPr>
          <t xml:space="preserve"> </t>
        </r>
      </text>
    </comment>
    <comment ref="A5" authorId="0">
      <text>
        <r>
          <rPr>
            <sz val="14"/>
            <color indexed="81"/>
            <rFont val="Tahoma"/>
            <family val="2"/>
          </rPr>
          <t xml:space="preserve">OTDS will be this percentage of the Member's value of production in the reference year. </t>
        </r>
      </text>
    </comment>
  </commentList>
</comments>
</file>

<file path=xl/sharedStrings.xml><?xml version="1.0" encoding="utf-8"?>
<sst xmlns="http://schemas.openxmlformats.org/spreadsheetml/2006/main" count="1511" uniqueCount="501">
  <si>
    <t>Country</t>
  </si>
  <si>
    <t>Australia</t>
  </si>
  <si>
    <t>Brazil</t>
  </si>
  <si>
    <t>Canada</t>
  </si>
  <si>
    <t>China</t>
  </si>
  <si>
    <t>European Union</t>
  </si>
  <si>
    <t>India</t>
  </si>
  <si>
    <t>Indonesia</t>
  </si>
  <si>
    <t>Japan</t>
  </si>
  <si>
    <t>Russia</t>
  </si>
  <si>
    <t>United States of America</t>
  </si>
  <si>
    <t>Total Trade Distorting Support (US$)</t>
  </si>
  <si>
    <t>Value of Production (US$)</t>
  </si>
  <si>
    <t>"Current" AMS (US$)</t>
  </si>
  <si>
    <t>De-Minimis (US$)</t>
  </si>
  <si>
    <t>Blue Box (US$)</t>
  </si>
  <si>
    <t>De-Minimis Limit</t>
  </si>
  <si>
    <t>AMS Limit</t>
  </si>
  <si>
    <t>Real annual country exchange rates (local currency per $US)</t>
  </si>
  <si>
    <t>Updated 1/28/2014</t>
  </si>
  <si>
    <t>Source: Derived by averaging 12 monthly real exchange rates.</t>
  </si>
  <si>
    <t>Contact: Dr. Mathew Shane (202-694-5282, mshane@ers.usda.gov)</t>
  </si>
  <si>
    <t>Region</t>
  </si>
  <si>
    <t>North America</t>
  </si>
  <si>
    <t>Southeast Asia</t>
  </si>
  <si>
    <t>South Asia</t>
  </si>
  <si>
    <t>Northeast Asia</t>
  </si>
  <si>
    <t>Oceania</t>
  </si>
  <si>
    <t>Country Code</t>
  </si>
  <si>
    <t>(3510)</t>
  </si>
  <si>
    <t>(1220)</t>
  </si>
  <si>
    <t>(5600)</t>
  </si>
  <si>
    <t>(4621)</t>
  </si>
  <si>
    <t>(5330)</t>
  </si>
  <si>
    <t>(5700)</t>
  </si>
  <si>
    <t>(5880)</t>
  </si>
  <si>
    <t>(6021)</t>
  </si>
  <si>
    <t>Month/currency</t>
  </si>
  <si>
    <t>NOTIFIES IN USD</t>
  </si>
  <si>
    <t>C$</t>
  </si>
  <si>
    <t>Rupiah</t>
  </si>
  <si>
    <t>Euro/$</t>
  </si>
  <si>
    <t>Yuan</t>
  </si>
  <si>
    <t>Yen</t>
  </si>
  <si>
    <t>A$</t>
  </si>
  <si>
    <t>Rupees</t>
  </si>
  <si>
    <t>Rubles</t>
  </si>
  <si>
    <t>Actual De-Minimis Limit</t>
  </si>
  <si>
    <t>Actual AMS Limit</t>
  </si>
  <si>
    <t>Total Limit</t>
  </si>
  <si>
    <t>Glauber Proposal 2010</t>
  </si>
  <si>
    <t>Remaining Water</t>
  </si>
  <si>
    <t>DS Limit (5% / 10%)</t>
  </si>
  <si>
    <t>Change from AMS/DM Limit</t>
  </si>
  <si>
    <t>Percentage of Value of Production</t>
  </si>
  <si>
    <t>Wheat % of VOP</t>
  </si>
  <si>
    <t>Cattle % of VOP</t>
  </si>
  <si>
    <t>Milk % of VOP</t>
  </si>
  <si>
    <t/>
  </si>
  <si>
    <t>Sugar % of VOP</t>
  </si>
  <si>
    <t>Australia (2010)</t>
  </si>
  <si>
    <t>Brazil (2010)</t>
  </si>
  <si>
    <t>Coffee % of VOP</t>
  </si>
  <si>
    <t>Cotton % of VOP</t>
  </si>
  <si>
    <t>Edible Beans % of VOP</t>
  </si>
  <si>
    <t>Maize % of VOP</t>
  </si>
  <si>
    <t>Rice % of VOP</t>
  </si>
  <si>
    <t>Sisal % of VOP</t>
  </si>
  <si>
    <t>Wheat  % of VOP</t>
  </si>
  <si>
    <t>Grapes % of VOP</t>
  </si>
  <si>
    <t>Wheat and Durum % of VOP</t>
  </si>
  <si>
    <t>Barley % of VOP</t>
  </si>
  <si>
    <t>Oats % of VOP</t>
  </si>
  <si>
    <t>Corn % of VOP</t>
  </si>
  <si>
    <t>Canola % of VOP</t>
  </si>
  <si>
    <t>Soyabeans % of VOP</t>
  </si>
  <si>
    <t>Other Grains, Oilseeds and Forage Crops % of VOP</t>
  </si>
  <si>
    <t>Apples % of VOP</t>
  </si>
  <si>
    <t>Potatoes % of VOP</t>
  </si>
  <si>
    <t>Honey % of VOP</t>
  </si>
  <si>
    <t>Dry Beans % of VOP</t>
  </si>
  <si>
    <t>Tobacco  % of VOP</t>
  </si>
  <si>
    <t>Other Crops % of VOP</t>
  </si>
  <si>
    <t>Beef % of VOP</t>
  </si>
  <si>
    <t>Pork % of VOP</t>
  </si>
  <si>
    <t>Sheep % of VOP</t>
  </si>
  <si>
    <t>Eggs % of VOP</t>
  </si>
  <si>
    <t>Other Livestock % of VOP</t>
  </si>
  <si>
    <t>Canada (2010)</t>
  </si>
  <si>
    <t>China (2010)</t>
  </si>
  <si>
    <t>Soy Bean % of VOP</t>
  </si>
  <si>
    <t>Rapeseed % of VOP</t>
  </si>
  <si>
    <t>Potato % of VOP</t>
  </si>
  <si>
    <t>Pig % of VOP</t>
  </si>
  <si>
    <t>Highland Barley % of VOP</t>
  </si>
  <si>
    <t>Peanut % of VOP</t>
  </si>
  <si>
    <t>EU (2010)</t>
  </si>
  <si>
    <t>Common Wheat % of VOP</t>
  </si>
  <si>
    <t>Durum Wheat % of VOP</t>
  </si>
  <si>
    <t>Sorghum % of VOP</t>
  </si>
  <si>
    <t>Triticale % of VOP</t>
  </si>
  <si>
    <t>Skimmed Milk Powder % of VOP</t>
  </si>
  <si>
    <t>Butter % of VOP</t>
  </si>
  <si>
    <t>Dried fodder % of VOP</t>
  </si>
  <si>
    <t>Fibre flax and hemp % of VOP</t>
  </si>
  <si>
    <t>Tobacco % of VOP</t>
  </si>
  <si>
    <t>Cauliflower % of VOP</t>
  </si>
  <si>
    <t>Tomatoes % of VOP</t>
  </si>
  <si>
    <t>Apricots % of VOP</t>
  </si>
  <si>
    <t>Nectarines % of VOP</t>
  </si>
  <si>
    <t>Peaches % of VOP</t>
  </si>
  <si>
    <t>Pears % of VOP</t>
  </si>
  <si>
    <t>Aubergines % of VOP</t>
  </si>
  <si>
    <t>Melon % of VOP</t>
  </si>
  <si>
    <t>Watermelon % of VOP</t>
  </si>
  <si>
    <t>Oranges % of VOP</t>
  </si>
  <si>
    <t>Mandarins % of VOP</t>
  </si>
  <si>
    <t>Celementines % of VOP</t>
  </si>
  <si>
    <t>Satsumas % of VOP</t>
  </si>
  <si>
    <t>Lemons % of VOP</t>
  </si>
  <si>
    <t>Other products not mentioned in Annex X to R 1580/2007 % of VOP</t>
  </si>
  <si>
    <t>Citrus fruits for processing % of VOP</t>
  </si>
  <si>
    <t>Peaches for processing % of VOP</t>
  </si>
  <si>
    <t>Pears for processing % of VOP</t>
  </si>
  <si>
    <t>Tomatoes for processing % of VOP</t>
  </si>
  <si>
    <t>Silkworms % of VOP</t>
  </si>
  <si>
    <t>Bee keeping % of VOP</t>
  </si>
  <si>
    <t>Nuts % of VOP</t>
  </si>
  <si>
    <t>Plums for processing % of VOP</t>
  </si>
  <si>
    <t>Figs for processing % of VOP</t>
  </si>
  <si>
    <t>Wine % of VOP</t>
  </si>
  <si>
    <t>Pigmeat % of VOP</t>
  </si>
  <si>
    <t>Ethyl alcohol of agricultural origin % of VOP</t>
  </si>
  <si>
    <t>Potatoes for processing into starch % of VOP</t>
  </si>
  <si>
    <t>Olive Oil % of VOP</t>
  </si>
  <si>
    <t>Course Cereals (bajra, jawar, ragi) % of VOP</t>
  </si>
  <si>
    <t>Mustard Seed % of VOP</t>
  </si>
  <si>
    <t>India (2010)</t>
  </si>
  <si>
    <t>Japan (2010)</t>
  </si>
  <si>
    <t>Starch % of VOP</t>
  </si>
  <si>
    <t>Beef and Veal % of VOP</t>
  </si>
  <si>
    <t>Meat of Swine % of VOP</t>
  </si>
  <si>
    <t>Vegetables % of VOP</t>
  </si>
  <si>
    <t>Fruits % of VOP</t>
  </si>
  <si>
    <t>United States (2010)</t>
  </si>
  <si>
    <t>Dairy % of VOP</t>
  </si>
  <si>
    <t>Dry peas % of VOP</t>
  </si>
  <si>
    <t>Flaxseed % of VOP</t>
  </si>
  <si>
    <t>Lentils % of VOP</t>
  </si>
  <si>
    <t>Livestock 3/ % of VOP</t>
  </si>
  <si>
    <t>Mohair % of VOP</t>
  </si>
  <si>
    <t>Orchards, vineyards, nursery % of VOP</t>
  </si>
  <si>
    <t>Peanuts % of VOP</t>
  </si>
  <si>
    <t>Safflower % of VOP</t>
  </si>
  <si>
    <t>Soybeans % of VOP</t>
  </si>
  <si>
    <t>Sunflower seed % of VOP</t>
  </si>
  <si>
    <t>Wool % of VOP</t>
  </si>
  <si>
    <t>Value of Production</t>
  </si>
  <si>
    <t>Calculations</t>
  </si>
  <si>
    <t>Average</t>
  </si>
  <si>
    <t>Assuming VOP Growth at average of 2006-2013</t>
  </si>
  <si>
    <t>Member</t>
  </si>
  <si>
    <t>AMS + DM Limits - Avg '06-'13 VoP Growth</t>
  </si>
  <si>
    <t>Variables</t>
  </si>
  <si>
    <t>VoP Growth Rate</t>
  </si>
  <si>
    <t>VoP Growth Rate:</t>
  </si>
  <si>
    <t>Reference Year</t>
  </si>
  <si>
    <t>Reference Year:</t>
  </si>
  <si>
    <t>OTDS</t>
  </si>
  <si>
    <t>Developed</t>
  </si>
  <si>
    <t>Developing</t>
  </si>
  <si>
    <t>TDS Growth Rate:</t>
  </si>
  <si>
    <t>TDS Growth Rate</t>
  </si>
  <si>
    <t>Current and Projected Limits</t>
  </si>
  <si>
    <t>OTDS For TDS</t>
  </si>
  <si>
    <t>Limits Dates</t>
  </si>
  <si>
    <t>TDS Dates</t>
  </si>
  <si>
    <t>% of Water Cut</t>
  </si>
  <si>
    <t>Snapshot Year:</t>
  </si>
  <si>
    <t>Custom VOP Growth Rates:</t>
  </si>
  <si>
    <t>Custom VoP Growth Rate</t>
  </si>
  <si>
    <t>Size of Cut in Limit</t>
  </si>
  <si>
    <t>Custom TDS Growth Rate</t>
  </si>
  <si>
    <t>Assuming Custom VOP Growth Rate or:</t>
  </si>
  <si>
    <t>OTDS Developed:</t>
  </si>
  <si>
    <t>OTDS Developing:</t>
  </si>
  <si>
    <t>De Minimis and AMS Only</t>
  </si>
  <si>
    <t>AMS + De Minimis Limit</t>
  </si>
  <si>
    <t>De Minimis</t>
  </si>
  <si>
    <t>AMS</t>
  </si>
  <si>
    <t>Blue Box</t>
  </si>
  <si>
    <t>Article 6.2</t>
  </si>
  <si>
    <t>Variables (Common)</t>
  </si>
  <si>
    <t>Variables (OTDS)</t>
  </si>
  <si>
    <t>Variables (Custom)</t>
  </si>
  <si>
    <t>Select Members</t>
  </si>
  <si>
    <t>Show-Hide</t>
  </si>
  <si>
    <t>Show</t>
  </si>
  <si>
    <t>Hide</t>
  </si>
  <si>
    <t>Total Article 6 Spending</t>
  </si>
  <si>
    <t>AMS + De Minimis Spending</t>
  </si>
  <si>
    <t>Growth Rates and Limits</t>
  </si>
  <si>
    <t>OTDS Limit</t>
  </si>
  <si>
    <t>De Minimis Limit</t>
  </si>
  <si>
    <t>Avg. Ref Yr (From/To):</t>
  </si>
  <si>
    <t>Average Reference Yr</t>
  </si>
  <si>
    <t>DM Percentage:</t>
  </si>
  <si>
    <t>AMS Figure:</t>
  </si>
  <si>
    <t>Misc:</t>
  </si>
  <si>
    <t>DMMod</t>
  </si>
  <si>
    <t>AMSMod</t>
  </si>
  <si>
    <t>Misc Mod</t>
  </si>
  <si>
    <t>%+</t>
  </si>
  <si>
    <t>%-</t>
  </si>
  <si>
    <t>New DM</t>
  </si>
  <si>
    <t>New AMS</t>
  </si>
  <si>
    <t>Modifier</t>
  </si>
  <si>
    <t>Custom Calculations 1</t>
  </si>
  <si>
    <t>Custom Calculations 2</t>
  </si>
  <si>
    <t>New DM (Zero Check)</t>
  </si>
  <si>
    <t>New AMS (Zero Check)</t>
  </si>
  <si>
    <t>m$+</t>
  </si>
  <si>
    <t>m$-</t>
  </si>
  <si>
    <t>AoA Modified</t>
  </si>
  <si>
    <t>Custom Calculations 3</t>
  </si>
  <si>
    <t>Text Expression of Modifier:</t>
  </si>
  <si>
    <t>New Member Set Up</t>
  </si>
  <si>
    <t>Name:</t>
  </si>
  <si>
    <t>NPS De Minimis:</t>
  </si>
  <si>
    <t>PS De Minimis:</t>
  </si>
  <si>
    <t>AMS Limit:</t>
  </si>
  <si>
    <t>VoP</t>
  </si>
  <si>
    <t>Production</t>
  </si>
  <si>
    <t>Spending</t>
  </si>
  <si>
    <t>VoP GR:</t>
  </si>
  <si>
    <t>NPS + PS</t>
  </si>
  <si>
    <t xml:space="preserve">TDS GR: </t>
  </si>
  <si>
    <t>DM + AMS</t>
  </si>
  <si>
    <t>Article 6</t>
  </si>
  <si>
    <t>Developing/Developed:</t>
  </si>
  <si>
    <t>DevelopingStatus</t>
  </si>
  <si>
    <t xml:space="preserve">This interface allows you to use this calculator on a Member that's not one of the nine already built in. To do so, begin by filling out on the left the name, Product Specific De Minimis, Non-Product Specific De Minimis, AMS Limit and whether the Member is Developed or Developing. 
Then, below, add in any data that you have on the Value of Production and Domestic Support Spending of the Member. You do not need to fill out all the spaces but data for at least one year's Value of Production is needed for the calculator to work. </t>
  </si>
  <si>
    <t>Comparison</t>
  </si>
  <si>
    <t>DDComp1</t>
  </si>
  <si>
    <t>DDComp2</t>
  </si>
  <si>
    <t>AMS + DM Limit</t>
  </si>
  <si>
    <t>decrease of</t>
  </si>
  <si>
    <t>increase of</t>
  </si>
  <si>
    <t>Comparison Stationary Data</t>
  </si>
  <si>
    <t>Modification Parsing 1</t>
  </si>
  <si>
    <t>Albania</t>
  </si>
  <si>
    <t>Afghanistan</t>
  </si>
  <si>
    <t>Angola</t>
  </si>
  <si>
    <t>Antigua and Barbuda</t>
  </si>
  <si>
    <t>Argentina</t>
  </si>
  <si>
    <t>Armenia</t>
  </si>
  <si>
    <t>Austria</t>
  </si>
  <si>
    <t>Bahrain, Kingdom of</t>
  </si>
  <si>
    <t>Bangladesh</t>
  </si>
  <si>
    <t>Barbados</t>
  </si>
  <si>
    <t>Belgium</t>
  </si>
  <si>
    <t>Belize</t>
  </si>
  <si>
    <t>Benin</t>
  </si>
  <si>
    <t xml:space="preserve">Bolivia, Plurinational State of </t>
  </si>
  <si>
    <t>Botswana</t>
  </si>
  <si>
    <t>Brunei Darussalam</t>
  </si>
  <si>
    <t>Bulgaria</t>
  </si>
  <si>
    <t>Burkina Faso</t>
  </si>
  <si>
    <t>Burundi</t>
  </si>
  <si>
    <t>Cambodia</t>
  </si>
  <si>
    <t>Cameroon</t>
  </si>
  <si>
    <t>Cape Verde</t>
  </si>
  <si>
    <t>Central African Republic</t>
  </si>
  <si>
    <t>Chad</t>
  </si>
  <si>
    <t>Chile</t>
  </si>
  <si>
    <t>Colombia</t>
  </si>
  <si>
    <t>Congo</t>
  </si>
  <si>
    <t>Costa Rica</t>
  </si>
  <si>
    <t>Côte d'Ivoire</t>
  </si>
  <si>
    <t>Croatia</t>
  </si>
  <si>
    <t>Cuba</t>
  </si>
  <si>
    <t>Cyprus</t>
  </si>
  <si>
    <t>Czech Republic</t>
  </si>
  <si>
    <t xml:space="preserve">Congo, Democratic Republic of  </t>
  </si>
  <si>
    <t>Denmark</t>
  </si>
  <si>
    <t>Djibouti</t>
  </si>
  <si>
    <t>Dominica</t>
  </si>
  <si>
    <t>Dominican Republic</t>
  </si>
  <si>
    <t>Ecuador</t>
  </si>
  <si>
    <t>Egypt</t>
  </si>
  <si>
    <t>El Salvador</t>
  </si>
  <si>
    <t>Estonia</t>
  </si>
  <si>
    <t>Fiji</t>
  </si>
  <si>
    <t>Finland</t>
  </si>
  <si>
    <t>France</t>
  </si>
  <si>
    <t>Gabon</t>
  </si>
  <si>
    <t>The Gambia</t>
  </si>
  <si>
    <t>Georgia</t>
  </si>
  <si>
    <t>Germany</t>
  </si>
  <si>
    <t>Ghana</t>
  </si>
  <si>
    <t>Greece</t>
  </si>
  <si>
    <t>Grenada</t>
  </si>
  <si>
    <t>Guatemala</t>
  </si>
  <si>
    <t>Guinea</t>
  </si>
  <si>
    <t>Guinea Bissau</t>
  </si>
  <si>
    <t>Guyana</t>
  </si>
  <si>
    <t>Haiti</t>
  </si>
  <si>
    <t>Honduras</t>
  </si>
  <si>
    <t>Hong Kong, China</t>
  </si>
  <si>
    <t>Hungary</t>
  </si>
  <si>
    <t>Iceland</t>
  </si>
  <si>
    <t>Ireland</t>
  </si>
  <si>
    <t>Israel</t>
  </si>
  <si>
    <t>Italy</t>
  </si>
  <si>
    <t>Jamaica</t>
  </si>
  <si>
    <t>Jordan</t>
  </si>
  <si>
    <t>Kazakhstan</t>
  </si>
  <si>
    <t>Kenya</t>
  </si>
  <si>
    <t>Korea, Republic of</t>
  </si>
  <si>
    <t>Kuwait</t>
  </si>
  <si>
    <t>Kyrgyz Republic</t>
  </si>
  <si>
    <t xml:space="preserve">Lao People's Dem. Rep. </t>
  </si>
  <si>
    <t>Latvia</t>
  </si>
  <si>
    <t>Lesotho</t>
  </si>
  <si>
    <t>Liechtenstein</t>
  </si>
  <si>
    <t>Liberia</t>
  </si>
  <si>
    <t>Lithuania</t>
  </si>
  <si>
    <t>Luxembourg</t>
  </si>
  <si>
    <t>Macao, China</t>
  </si>
  <si>
    <t xml:space="preserve">Macedonia, Former Yugoslav Republic of </t>
  </si>
  <si>
    <t>Madagascar</t>
  </si>
  <si>
    <t xml:space="preserve">Malawi </t>
  </si>
  <si>
    <t>Malaysia</t>
  </si>
  <si>
    <t>Maldives</t>
  </si>
  <si>
    <t>Mali</t>
  </si>
  <si>
    <t>Malta</t>
  </si>
  <si>
    <t>Mauritania</t>
  </si>
  <si>
    <t>Mauritius</t>
  </si>
  <si>
    <t>Mexico</t>
  </si>
  <si>
    <t>Moldova</t>
  </si>
  <si>
    <t>Mongolia</t>
  </si>
  <si>
    <t>Montenegro</t>
  </si>
  <si>
    <t>Morocco</t>
  </si>
  <si>
    <t>Mozambique</t>
  </si>
  <si>
    <t>Myanmar</t>
  </si>
  <si>
    <t>Namibia</t>
  </si>
  <si>
    <t>Nepal</t>
  </si>
  <si>
    <t>Netherlands</t>
  </si>
  <si>
    <t>New Zealand</t>
  </si>
  <si>
    <t>Nicaragua</t>
  </si>
  <si>
    <t>Niger</t>
  </si>
  <si>
    <t>Nigeria</t>
  </si>
  <si>
    <t>Norway</t>
  </si>
  <si>
    <t>Oman</t>
  </si>
  <si>
    <t>Pakistan</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</si>
  <si>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</si>
  <si>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</si>
  <si>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</si>
  <si>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</si>
  <si>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</si>
  <si>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</si>
  <si>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</si>
  <si>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</si>
  <si>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</si>
  <si>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</si>
  <si>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</si>
  <si>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</si>
  <si>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</si>
  <si>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</si>
  <si>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</si>
  <si>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Saudi Arabia, Kingdom of</t>
  </si>
  <si>
    <t>Senegal</t>
  </si>
  <si>
    <t>Seychelles</t>
  </si>
  <si>
    <t>Sierra Leone</t>
  </si>
  <si>
    <t>Singapore</t>
  </si>
  <si>
    <t>Slovak Republic</t>
  </si>
  <si>
    <t>Slovenia</t>
  </si>
  <si>
    <t>Solomon Islands</t>
  </si>
  <si>
    <t>South Africa</t>
  </si>
  <si>
    <t>Spain</t>
  </si>
  <si>
    <t>Sri Lanka</t>
  </si>
  <si>
    <t>Suriname</t>
  </si>
  <si>
    <t>Swaziland</t>
  </si>
  <si>
    <t>Sweden</t>
  </si>
  <si>
    <t>Switzerland</t>
  </si>
  <si>
    <t>Chinese Taipei</t>
  </si>
  <si>
    <t>Tajikistan</t>
  </si>
  <si>
    <t>Tanzania</t>
  </si>
  <si>
    <t>Thailand</t>
  </si>
  <si>
    <t>Togo</t>
  </si>
  <si>
    <t>Tonga</t>
  </si>
  <si>
    <t>Trinidad and Tobago</t>
  </si>
  <si>
    <t>Tunisia</t>
  </si>
  <si>
    <t>Turkey</t>
  </si>
  <si>
    <t>Uganda</t>
  </si>
  <si>
    <t>Ukraine</t>
  </si>
  <si>
    <t>United Arab Emirates</t>
  </si>
  <si>
    <t xml:space="preserve">United Kingdom </t>
  </si>
  <si>
    <t>Uruguay</t>
  </si>
  <si>
    <t>Vanuatu</t>
  </si>
  <si>
    <t xml:space="preserve">Venezuela, Bolivarian Republic of </t>
  </si>
  <si>
    <t>Vietnam</t>
  </si>
  <si>
    <t>Yemen</t>
  </si>
  <si>
    <t>Zambia</t>
  </si>
  <si>
    <t>Zimbabwe</t>
  </si>
  <si>
    <t>Least Developed Countries</t>
  </si>
  <si>
    <t>Land Locked Developing Countries</t>
  </si>
  <si>
    <t>Small Island Developing States</t>
  </si>
  <si>
    <t>Net Food Importing Developing Countries</t>
  </si>
  <si>
    <t>AMS + DM Spending</t>
  </si>
  <si>
    <t>Water Remaining: AoA AMS + De Minimis</t>
  </si>
  <si>
    <t xml:space="preserve">Chart title: </t>
  </si>
  <si>
    <t>AMS+De Minimis Spending</t>
  </si>
  <si>
    <t>Spending Chart</t>
  </si>
  <si>
    <t>Member Comparisons</t>
  </si>
  <si>
    <t>Total Article 6 Support Spending</t>
  </si>
  <si>
    <t>Custom Calculations 2 (Modified AoA)</t>
  </si>
  <si>
    <t>DM+AMS Spending</t>
  </si>
  <si>
    <t>Four Way Water Comparison Limit</t>
  </si>
  <si>
    <t>Four Way Water Comparison Spending</t>
  </si>
  <si>
    <t>Limit:</t>
  </si>
  <si>
    <t>Spending:</t>
  </si>
  <si>
    <t>Total Article 6</t>
  </si>
  <si>
    <t>Main Chart</t>
  </si>
  <si>
    <t>Four Way Water Comparison Subtraction</t>
  </si>
  <si>
    <t>Four Way Water Comparison Subtraction 2</t>
  </si>
  <si>
    <t>Title:</t>
  </si>
  <si>
    <t>DDComp3</t>
  </si>
  <si>
    <t>Longform Variables</t>
  </si>
  <si>
    <t>Product Specific</t>
  </si>
  <si>
    <t>Non Product Specific</t>
  </si>
  <si>
    <t>Include</t>
  </si>
  <si>
    <t>By:</t>
  </si>
  <si>
    <t>Modify:</t>
  </si>
  <si>
    <t>Include:</t>
  </si>
  <si>
    <t>Inlclude:</t>
  </si>
  <si>
    <t>PS Limit</t>
  </si>
  <si>
    <t>NPS Limit</t>
  </si>
  <si>
    <t>Yes</t>
  </si>
  <si>
    <t>No</t>
  </si>
  <si>
    <t>Base PS %</t>
  </si>
  <si>
    <t>Base NPS %</t>
  </si>
  <si>
    <t>Modified PS %</t>
  </si>
  <si>
    <t>Modified NPS %</t>
  </si>
  <si>
    <t>De Minimis Total</t>
  </si>
  <si>
    <t>AMS Total</t>
  </si>
  <si>
    <t>Base AMS</t>
  </si>
  <si>
    <t>Modified AMS</t>
  </si>
  <si>
    <t>AMS Modifier</t>
  </si>
  <si>
    <t>Overall Adjustment:</t>
  </si>
  <si>
    <t>Adjust:</t>
  </si>
  <si>
    <t>Adjust</t>
  </si>
  <si>
    <t>Adjustment</t>
  </si>
  <si>
    <t>Limit and Adjustment</t>
  </si>
  <si>
    <t>OTDS Limits Spending On:</t>
  </si>
  <si>
    <t>Amber Box (De Minimis + AMS)</t>
  </si>
  <si>
    <t>"Development Box" (Art 6.2)</t>
  </si>
  <si>
    <t>Spending for OTDS</t>
  </si>
  <si>
    <t>Developed OTDS Consists Of:</t>
  </si>
  <si>
    <t>Developing OTDS Consists Of:</t>
  </si>
  <si>
    <t>Display</t>
  </si>
  <si>
    <t>Graph Limit</t>
  </si>
  <si>
    <t>OTDS Graph Limit</t>
  </si>
  <si>
    <t>OTDS VoP</t>
  </si>
  <si>
    <t>Default</t>
  </si>
  <si>
    <t>Growth Rates</t>
  </si>
  <si>
    <t>YesNo</t>
  </si>
  <si>
    <t>OTDS Graph Limit - Combined Chart</t>
  </si>
  <si>
    <t>Spending for OTDS on De Minimis and AMS</t>
  </si>
  <si>
    <t>Spending for OTDS on Blue Box</t>
  </si>
  <si>
    <t>Spending for OTDS on Article 6.2</t>
  </si>
  <si>
    <t>Spending for OTDS - Combined Chart</t>
  </si>
  <si>
    <t>Period:</t>
  </si>
  <si>
    <t>FrequencyBox</t>
  </si>
  <si>
    <t>Once</t>
  </si>
  <si>
    <t>Yearly</t>
  </si>
  <si>
    <t>Triennially</t>
  </si>
  <si>
    <t>Biennially</t>
  </si>
  <si>
    <t>Between:</t>
  </si>
  <si>
    <t>Overall Adjustment Calculations</t>
  </si>
  <si>
    <t>Start</t>
  </si>
  <si>
    <t>End</t>
  </si>
  <si>
    <t>Quinquennial</t>
  </si>
  <si>
    <t>3</t>
  </si>
  <si>
    <t>Value</t>
  </si>
  <si>
    <t>Period</t>
  </si>
  <si>
    <t xml:space="preserve">Intervals OTDS Calc Developed  </t>
  </si>
  <si>
    <t>Intervals OTDS Calc Developing</t>
  </si>
  <si>
    <t>Intervals OTDS Developed 2</t>
  </si>
  <si>
    <t>Intervals OTDS Developing 2</t>
  </si>
  <si>
    <t>Growth Rate Combo Boxes</t>
  </si>
  <si>
    <t>"Flat" Reference Period OTDS:</t>
  </si>
  <si>
    <t>%</t>
  </si>
  <si>
    <t>Reference Period:</t>
  </si>
  <si>
    <t>Average VoP for Reference Period OTDS</t>
  </si>
  <si>
    <t>Percentage</t>
  </si>
  <si>
    <t>OTDS Reference Period</t>
  </si>
  <si>
    <t>Ref Period On?</t>
  </si>
  <si>
    <t>Graph Water</t>
  </si>
  <si>
    <t>2006</t>
  </si>
  <si>
    <t>2030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</si>
</sst>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quot;$&quot;#,##0"/>
    <numFmt numFmtId="42" formatCode="_-&quot;$&quot;* #,##0_-;\-&quot;$&quot;* #,##0_-;_-&quot;$&quot;* &quot;-&quot;_-;_-@_-"/>
    <numFmt numFmtId="44" formatCode="_-&quot;$&quot;* #,##0.00_-;\-&quot;$&quot;* #,##0.00_-;_-&quot;$&quot;* &quot;-&quot;??_-;_-@_-"/>
    <numFmt numFmtId="164" formatCode="&quot;$&quot;#,##0_);\(&quot;$&quot;#,##0\)"/>
    <numFmt numFmtId="165" formatCode="_(&quot;$&quot;* #,##0.00_);_(&quot;$&quot;* \(#,##0.00\);_(&quot;$&quot;* &quot;-&quot;??_);_(@_)"/>
    <numFmt numFmtId="166" formatCode="&quot;$&quot;#,##0"/>
    <numFmt numFmtId="167" formatCode="0.000"/>
    <numFmt numFmtId="168" formatCode="0.0000"/>
    <numFmt numFmtId="169" formatCode="0.00000"/>
    <numFmt numFmtId="170" formatCode="0.0%"/>
    <numFmt numFmtId="171" formatCode="_-[$$-409]* #,##0.00_ ;_-[$$-409]* \-#,##0.00\ ;_-[$$-409]* &quot;-&quot;??_ ;_-@_ "/>
    <numFmt numFmtId="172" formatCode="_-[$$-409]* #,##0_ ;_-[$$-409]* \-#,##0\ ;_-[$$-409]* &quot;-&quot;_ ;_-@_ "/>
    <numFmt numFmtId="173" formatCode="0.0000%"/>
    <numFmt numFmtId="174" formatCode="_-[$$-C09]* #,##0.00_-;\-[$$-C09]* #,##0.00_-;_-[$$-C09]* &quot;-&quot;??_-;_-@_-"/>
    <numFmt numFmtId="175" formatCode="&quot;$&quot;#,##0&quot;m&quot;"/>
    <numFmt numFmtId="176" formatCode="_([$$-409]* #,##0_);_([$$-409]* \(#,##0\);_([$$-409]* &quot;-&quot;_);_(@_)"/>
    <numFmt numFmtId="177" formatCode="&quot;$&quot;#&quot;m&quot;"/>
    <numFmt numFmtId="178" formatCode="&quot;$&quot;#,##0.00"/>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0"/>
      <name val="Arial"/>
      <family val="2"/>
    </font>
    <font>
      <sz val="10"/>
      <name val="Arial"/>
      <family val="2"/>
    </font>
    <font>
      <sz val="22"/>
      <color theme="1"/>
      <name val="Calibri"/>
      <family val="2"/>
      <scheme val="minor"/>
    </font>
    <font>
      <sz val="18"/>
      <color theme="1"/>
      <name val="Calibri"/>
      <family val="2"/>
      <scheme val="minor"/>
    </font>
    <font>
      <b/>
      <sz val="12"/>
      <color indexed="81"/>
      <name val="Tahoma"/>
      <family val="2"/>
    </font>
    <font>
      <sz val="9"/>
      <color indexed="81"/>
      <name val="Tahoma"/>
      <family val="2"/>
    </font>
    <font>
      <sz val="14"/>
      <color indexed="81"/>
      <name val="Tahoma"/>
      <family val="2"/>
    </font>
    <font>
      <b/>
      <sz val="9"/>
      <color theme="1"/>
      <name val="Calibri"/>
      <family val="2"/>
      <scheme val="minor"/>
    </font>
    <font>
      <b/>
      <sz val="14"/>
      <color theme="1"/>
      <name val="Calibri"/>
      <family val="2"/>
      <scheme val="minor"/>
    </font>
    <font>
      <b/>
      <sz val="8"/>
      <color theme="1"/>
      <name val="Calibri"/>
      <family val="2"/>
      <scheme val="minor"/>
    </font>
    <font>
      <sz val="26"/>
      <color theme="1"/>
      <name val="Calibri"/>
      <family val="2"/>
      <scheme val="minor"/>
    </font>
    <font>
      <b/>
      <sz val="12"/>
      <color theme="1"/>
      <name val="Calibri"/>
      <family val="2"/>
      <scheme val="minor"/>
    </font>
    <font>
      <sz val="14"/>
      <color theme="1"/>
      <name val="Calibri"/>
      <family val="2"/>
      <scheme val="minor"/>
    </font>
    <font>
      <b/>
      <sz val="9"/>
      <color indexed="81"/>
      <name val="Tahoma"/>
      <family val="2"/>
    </font>
    <font>
      <sz val="12"/>
      <color indexed="81"/>
      <name val="Tahoma"/>
      <family val="2"/>
    </font>
    <font>
      <sz val="10"/>
      <color theme="1"/>
      <name val="Calibri"/>
      <family val="2"/>
      <scheme val="minor"/>
    </font>
    <font>
      <b/>
      <sz val="10"/>
      <color theme="1"/>
      <name val="Calibri"/>
      <family val="2"/>
      <scheme val="minor"/>
    </font>
    <font>
      <b/>
      <sz val="14"/>
      <color indexed="81"/>
      <name val="Tahoma"/>
      <family val="2"/>
    </font>
    <font>
      <b/>
      <sz val="11"/>
      <color rgb="FFFFFF00"/>
      <name val="Calibri"/>
      <family val="2"/>
      <scheme val="minor"/>
    </font>
    <font>
      <sz val="14"/>
      <color theme="0"/>
      <name val="Calibri"/>
      <family val="2"/>
      <scheme val="minor"/>
    </font>
    <font>
      <sz val="11"/>
      <color theme="1"/>
      <name val="Arial"/>
      <family val="2"/>
    </font>
    <font>
      <b/>
      <sz val="11"/>
      <color theme="1"/>
      <name val="Arial"/>
      <family val="2"/>
    </font>
    <font>
      <sz val="10"/>
      <color rgb="FF000000"/>
      <name val="Calibri"/>
      <family val="2"/>
      <scheme val="minor"/>
    </font>
    <font>
      <b/>
      <sz val="9"/>
      <color rgb="FF000000"/>
      <name val="Times New Roman"/>
      <family val="1"/>
    </font>
    <font>
      <b/>
      <sz val="26"/>
      <color theme="1"/>
      <name val="Calibri"/>
      <family val="2"/>
      <scheme val="minor"/>
    </font>
    <font>
      <sz val="11"/>
      <color theme="0"/>
      <name val="Calibri"/>
      <family val="2"/>
      <scheme val="minor"/>
    </font>
    <font>
      <sz val="11"/>
      <color theme="2"/>
      <name val="Calibri"/>
      <family val="2"/>
      <scheme val="minor"/>
    </font>
    <font>
      <sz val="1"/>
      <color theme="2"/>
      <name val="Calibri"/>
      <family val="2"/>
      <scheme val="minor"/>
    </font>
    <font>
      <b/>
      <sz val="16"/>
      <color theme="0"/>
      <name val="Calibri"/>
      <family val="2"/>
      <scheme val="minor"/>
    </font>
  </fonts>
  <fills count="15">
    <fill>
      <patternFill patternType="none"/>
    </fill>
    <fill>
      <patternFill patternType="gray125"/>
    </fill>
    <fill>
      <patternFill patternType="solid">
        <fgColor indexed="9"/>
        <bgColor indexed="64"/>
      </patternFill>
    </fill>
    <fill>
      <patternFill patternType="solid">
        <fgColor rgb="FF1DC4FF"/>
        <bgColor indexed="64"/>
      </patternFill>
    </fill>
    <fill>
      <patternFill patternType="solid">
        <fgColor indexed="40"/>
        <bgColor indexed="64"/>
      </patternFill>
    </fill>
    <fill>
      <patternFill patternType="solid">
        <fgColor rgb="FF00B0F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3" tint="0.79998168889431442"/>
        <bgColor indexed="64"/>
      </patternFill>
    </fill>
  </fills>
  <borders count="41">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bottom style="medium">
        <color rgb="FF000000"/>
      </bottom>
      <diagonal/>
    </border>
    <border>
      <left/>
      <right/>
      <top style="thin">
        <color auto="1"/>
      </top>
      <bottom style="thin">
        <color auto="1"/>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cellStyleXfs>
  <cellXfs count="272">
    <xf numFmtId="0" fontId="0" fillId="0" borderId="0" xfId="0"/>
    <xf numFmtId="1" fontId="3" fillId="0" borderId="0" xfId="0" applyNumberFormat="1" applyFont="1"/>
    <xf numFmtId="0" fontId="0" fillId="0" borderId="0" xfId="0" applyAlignment="1">
      <alignment horizontal="center" vertical="center" wrapText="1"/>
    </xf>
    <xf numFmtId="166" fontId="0" fillId="0" borderId="0" xfId="0" applyNumberFormat="1"/>
    <xf numFmtId="0" fontId="4" fillId="0" borderId="0" xfId="0" quotePrefix="1" applyFont="1" applyAlignment="1">
      <alignment horizontal="left"/>
    </xf>
    <xf numFmtId="167" fontId="0" fillId="0" borderId="0" xfId="0" applyNumberFormat="1"/>
    <xf numFmtId="0" fontId="5" fillId="0" borderId="0" xfId="0" quotePrefix="1" applyFont="1" applyAlignment="1">
      <alignment horizontal="left"/>
    </xf>
    <xf numFmtId="0" fontId="4" fillId="0" borderId="0" xfId="0" applyFont="1"/>
    <xf numFmtId="0" fontId="5"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0" fillId="0" borderId="0" xfId="0" applyBorder="1" applyAlignment="1">
      <alignment horizontal="center"/>
    </xf>
    <xf numFmtId="0" fontId="0" fillId="0" borderId="0" xfId="0" applyNumberFormat="1" applyBorder="1" applyAlignment="1">
      <alignment horizontal="center"/>
    </xf>
    <xf numFmtId="167" fontId="5" fillId="2" borderId="0" xfId="0" quotePrefix="1" applyNumberFormat="1" applyFont="1" applyFill="1" applyAlignment="1">
      <alignment horizontal="center"/>
    </xf>
    <xf numFmtId="168" fontId="5" fillId="2" borderId="0" xfId="0" quotePrefix="1" applyNumberFormat="1" applyFont="1" applyFill="1" applyAlignment="1">
      <alignment horizontal="center"/>
    </xf>
    <xf numFmtId="2" fontId="5" fillId="2" borderId="0" xfId="0" quotePrefix="1" applyNumberFormat="1" applyFont="1" applyFill="1" applyAlignment="1">
      <alignment horizontal="center"/>
    </xf>
    <xf numFmtId="167" fontId="5" fillId="2" borderId="0" xfId="0" applyNumberFormat="1" applyFont="1" applyFill="1" applyAlignment="1">
      <alignment horizontal="center"/>
    </xf>
    <xf numFmtId="169" fontId="5" fillId="2" borderId="0" xfId="0" quotePrefix="1" applyNumberFormat="1" applyFont="1" applyFill="1" applyAlignment="1">
      <alignment horizontal="center"/>
    </xf>
    <xf numFmtId="168" fontId="5" fillId="0" borderId="0" xfId="0" quotePrefix="1" applyNumberFormat="1" applyFont="1" applyBorder="1" applyAlignment="1">
      <alignment horizontal="center"/>
    </xf>
    <xf numFmtId="2" fontId="5" fillId="0" borderId="0" xfId="0" quotePrefix="1" applyNumberFormat="1" applyFont="1" applyBorder="1" applyAlignment="1">
      <alignment horizontal="center"/>
    </xf>
    <xf numFmtId="167" fontId="5" fillId="2" borderId="0" xfId="0" quotePrefix="1" applyNumberFormat="1" applyFont="1" applyFill="1" applyBorder="1" applyAlignment="1">
      <alignment horizontal="center"/>
    </xf>
    <xf numFmtId="0" fontId="5" fillId="2" borderId="2" xfId="0" quotePrefix="1" applyFont="1" applyFill="1" applyBorder="1" applyAlignment="1">
      <alignment horizontal="center"/>
    </xf>
    <xf numFmtId="167" fontId="4" fillId="2" borderId="2" xfId="0" quotePrefix="1" applyNumberFormat="1" applyFont="1" applyFill="1" applyBorder="1" applyAlignment="1">
      <alignment horizontal="center"/>
    </xf>
    <xf numFmtId="168" fontId="5" fillId="2" borderId="2" xfId="0" applyNumberFormat="1" applyFont="1" applyFill="1" applyBorder="1" applyAlignment="1">
      <alignment horizontal="center"/>
    </xf>
    <xf numFmtId="2" fontId="5" fillId="2" borderId="2" xfId="0" applyNumberFormat="1" applyFont="1" applyFill="1" applyBorder="1" applyAlignment="1">
      <alignment horizontal="center"/>
    </xf>
    <xf numFmtId="167" fontId="5" fillId="2" borderId="2" xfId="0" applyNumberFormat="1" applyFont="1" applyFill="1" applyBorder="1" applyAlignment="1">
      <alignment horizontal="center"/>
    </xf>
    <xf numFmtId="168" fontId="4" fillId="2" borderId="2" xfId="0" quotePrefix="1" applyNumberFormat="1" applyFont="1" applyFill="1" applyBorder="1" applyAlignment="1">
      <alignment horizontal="center"/>
    </xf>
    <xf numFmtId="167" fontId="5" fillId="2" borderId="2" xfId="0" quotePrefix="1" applyNumberFormat="1" applyFont="1" applyFill="1" applyBorder="1" applyAlignment="1">
      <alignment horizontal="center"/>
    </xf>
    <xf numFmtId="169" fontId="5" fillId="2" borderId="2" xfId="0" applyNumberFormat="1" applyFont="1" applyFill="1" applyBorder="1" applyAlignment="1">
      <alignment horizontal="center"/>
    </xf>
    <xf numFmtId="168" fontId="5" fillId="2" borderId="2" xfId="0" quotePrefix="1" applyNumberFormat="1" applyFont="1" applyFill="1" applyBorder="1" applyAlignment="1">
      <alignment horizontal="center"/>
    </xf>
    <xf numFmtId="2" fontId="0" fillId="0" borderId="0" xfId="0" applyNumberFormat="1"/>
    <xf numFmtId="167" fontId="0" fillId="0" borderId="0" xfId="0" quotePrefix="1" applyNumberFormat="1"/>
    <xf numFmtId="167" fontId="0" fillId="0" borderId="0" xfId="0" applyNumberFormat="1" applyFill="1"/>
    <xf numFmtId="0" fontId="0" fillId="0" borderId="0" xfId="0" applyFill="1"/>
    <xf numFmtId="0" fontId="0" fillId="3" borderId="0" xfId="0" applyFill="1"/>
    <xf numFmtId="167" fontId="0" fillId="4" borderId="0" xfId="0" applyNumberFormat="1" applyFill="1"/>
    <xf numFmtId="167" fontId="0" fillId="5" borderId="0" xfId="0" applyNumberFormat="1" applyFill="1"/>
    <xf numFmtId="170" fontId="0" fillId="0" borderId="0" xfId="1" applyNumberFormat="1" applyFont="1"/>
    <xf numFmtId="0" fontId="2" fillId="0" borderId="0" xfId="0" applyFont="1"/>
    <xf numFmtId="0" fontId="0" fillId="0" borderId="3" xfId="0" applyBorder="1" applyAlignment="1">
      <alignment horizontal="center" vertical="center" wrapText="1"/>
    </xf>
    <xf numFmtId="0" fontId="0" fillId="0" borderId="3" xfId="0" applyBorder="1"/>
    <xf numFmtId="172" fontId="0" fillId="0" borderId="3" xfId="0" applyNumberFormat="1" applyBorder="1"/>
    <xf numFmtId="166" fontId="0" fillId="0" borderId="3" xfId="0" applyNumberFormat="1" applyBorder="1"/>
    <xf numFmtId="0" fontId="2" fillId="0" borderId="3" xfId="0" applyFont="1" applyBorder="1"/>
    <xf numFmtId="171" fontId="0" fillId="0" borderId="3" xfId="0" applyNumberFormat="1" applyBorder="1"/>
    <xf numFmtId="173" fontId="0" fillId="0" borderId="0" xfId="0" applyNumberFormat="1"/>
    <xf numFmtId="173" fontId="0" fillId="0" borderId="3" xfId="0" applyNumberFormat="1" applyBorder="1"/>
    <xf numFmtId="9" fontId="0" fillId="0" borderId="0" xfId="1" applyFont="1"/>
    <xf numFmtId="9" fontId="0" fillId="0" borderId="0" xfId="0" applyNumberFormat="1"/>
    <xf numFmtId="174" fontId="0" fillId="0" borderId="0" xfId="0" applyNumberFormat="1"/>
    <xf numFmtId="44" fontId="0" fillId="0" borderId="0" xfId="2" applyFont="1"/>
    <xf numFmtId="9" fontId="6" fillId="0" borderId="0" xfId="1" applyFont="1" applyAlignment="1"/>
    <xf numFmtId="9" fontId="6" fillId="0" borderId="0" xfId="1" applyFont="1" applyAlignment="1">
      <alignment horizontal="left"/>
    </xf>
    <xf numFmtId="166" fontId="0" fillId="0" borderId="0" xfId="2" applyNumberFormat="1" applyFont="1"/>
    <xf numFmtId="42" fontId="0" fillId="0" borderId="0" xfId="2" applyNumberFormat="1" applyFont="1"/>
    <xf numFmtId="0" fontId="2" fillId="7" borderId="3" xfId="0" applyFont="1" applyFill="1" applyBorder="1" applyAlignment="1">
      <alignment horizontal="center" vertical="center"/>
    </xf>
    <xf numFmtId="0" fontId="2" fillId="7" borderId="3" xfId="0" applyFont="1" applyFill="1" applyBorder="1" applyAlignment="1">
      <alignment horizontal="center" vertical="center" wrapText="1"/>
    </xf>
    <xf numFmtId="0" fontId="0" fillId="8" borderId="0" xfId="0" applyFill="1"/>
    <xf numFmtId="0" fontId="0" fillId="8" borderId="14" xfId="0" applyFill="1" applyBorder="1"/>
    <xf numFmtId="0" fontId="11" fillId="7" borderId="3"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3" xfId="0" applyBorder="1" applyAlignment="1">
      <alignment horizontal="center"/>
    </xf>
    <xf numFmtId="0" fontId="13" fillId="7" borderId="17" xfId="0" applyFont="1" applyFill="1" applyBorder="1" applyAlignment="1">
      <alignment horizontal="center" vertical="center" wrapText="1"/>
    </xf>
    <xf numFmtId="0" fontId="13" fillId="7" borderId="18" xfId="0" applyFont="1" applyFill="1" applyBorder="1" applyAlignment="1"/>
    <xf numFmtId="0" fontId="13" fillId="7" borderId="4" xfId="0" applyFont="1" applyFill="1" applyBorder="1" applyAlignment="1"/>
    <xf numFmtId="0" fontId="13" fillId="7" borderId="18" xfId="0" applyFont="1" applyFill="1" applyBorder="1" applyAlignment="1">
      <alignment horizontal="center" vertical="center" wrapText="1"/>
    </xf>
    <xf numFmtId="0" fontId="0" fillId="0" borderId="4" xfId="0" applyBorder="1" applyAlignment="1">
      <alignment horizontal="center"/>
    </xf>
    <xf numFmtId="9" fontId="0" fillId="0" borderId="17" xfId="0" applyNumberFormat="1" applyBorder="1" applyAlignment="1">
      <alignment horizontal="center"/>
    </xf>
    <xf numFmtId="1" fontId="0" fillId="0" borderId="3" xfId="0" applyNumberFormat="1" applyBorder="1" applyAlignment="1">
      <alignment horizontal="center"/>
    </xf>
    <xf numFmtId="9" fontId="0" fillId="0" borderId="3" xfId="0" applyNumberFormat="1" applyBorder="1" applyAlignment="1">
      <alignment horizontal="center"/>
    </xf>
    <xf numFmtId="175" fontId="0" fillId="10" borderId="3" xfId="2" applyNumberFormat="1" applyFont="1" applyFill="1" applyBorder="1" applyAlignment="1">
      <alignment horizontal="center"/>
    </xf>
    <xf numFmtId="175" fontId="0" fillId="10" borderId="3" xfId="0" applyNumberFormat="1" applyFill="1" applyBorder="1" applyAlignment="1">
      <alignment horizontal="center"/>
    </xf>
    <xf numFmtId="9" fontId="0" fillId="10" borderId="3" xfId="2" applyNumberFormat="1" applyFont="1" applyFill="1" applyBorder="1" applyAlignment="1">
      <alignment horizontal="center"/>
    </xf>
    <xf numFmtId="0" fontId="0" fillId="0" borderId="0" xfId="0" applyAlignment="1"/>
    <xf numFmtId="9" fontId="16" fillId="10" borderId="3" xfId="0" applyNumberFormat="1" applyFont="1" applyFill="1" applyBorder="1" applyAlignment="1" applyProtection="1">
      <alignment wrapText="1"/>
      <protection locked="0"/>
    </xf>
    <xf numFmtId="0" fontId="16" fillId="0" borderId="0" xfId="0" applyFont="1"/>
    <xf numFmtId="0" fontId="16" fillId="9" borderId="3" xfId="0" applyFont="1" applyFill="1" applyBorder="1"/>
    <xf numFmtId="166" fontId="16" fillId="9" borderId="3" xfId="2" applyNumberFormat="1" applyFont="1" applyFill="1" applyBorder="1"/>
    <xf numFmtId="166" fontId="16" fillId="9" borderId="3" xfId="0" applyNumberFormat="1" applyFont="1" applyFill="1" applyBorder="1"/>
    <xf numFmtId="9" fontId="16" fillId="9" borderId="3" xfId="1" applyFont="1" applyFill="1" applyBorder="1"/>
    <xf numFmtId="0" fontId="16" fillId="8" borderId="0" xfId="0" applyFont="1" applyFill="1"/>
    <xf numFmtId="9" fontId="16" fillId="0" borderId="3" xfId="1" applyFont="1" applyBorder="1" applyProtection="1">
      <protection locked="0"/>
    </xf>
    <xf numFmtId="0" fontId="16" fillId="10" borderId="3" xfId="0" applyFont="1" applyFill="1" applyBorder="1" applyAlignment="1">
      <alignment horizontal="center" vertical="center"/>
    </xf>
    <xf numFmtId="0" fontId="16" fillId="8" borderId="0" xfId="0" applyFont="1" applyFill="1" applyAlignment="1">
      <alignment horizontal="center" vertical="center"/>
    </xf>
    <xf numFmtId="44" fontId="0" fillId="0" borderId="0" xfId="2" applyFont="1" applyBorder="1"/>
    <xf numFmtId="44" fontId="0" fillId="0" borderId="0" xfId="0" applyNumberFormat="1"/>
    <xf numFmtId="44" fontId="0" fillId="0" borderId="3" xfId="0" applyNumberFormat="1" applyBorder="1"/>
    <xf numFmtId="44" fontId="0" fillId="0" borderId="0" xfId="0" applyNumberFormat="1" applyBorder="1"/>
    <xf numFmtId="0" fontId="7" fillId="8" borderId="0" xfId="0" applyFont="1" applyFill="1" applyBorder="1" applyAlignment="1" applyProtection="1">
      <alignment vertical="center"/>
      <protection locked="0"/>
    </xf>
    <xf numFmtId="9" fontId="16" fillId="0" borderId="20" xfId="1" applyFont="1" applyBorder="1" applyProtection="1">
      <protection locked="0"/>
    </xf>
    <xf numFmtId="0" fontId="16" fillId="0" borderId="3" xfId="0" applyFont="1" applyBorder="1" applyAlignment="1" applyProtection="1">
      <alignment vertical="center"/>
      <protection locked="0"/>
    </xf>
    <xf numFmtId="0" fontId="16" fillId="9" borderId="3" xfId="0" applyFont="1" applyFill="1" applyBorder="1" applyAlignment="1"/>
    <xf numFmtId="174" fontId="0" fillId="0" borderId="3" xfId="0" applyNumberFormat="1" applyBorder="1"/>
    <xf numFmtId="174" fontId="0" fillId="0" borderId="0" xfId="0" applyNumberFormat="1" applyBorder="1"/>
    <xf numFmtId="44" fontId="0" fillId="0" borderId="3" xfId="2" applyFont="1" applyBorder="1"/>
    <xf numFmtId="0" fontId="12" fillId="7" borderId="3" xfId="0" applyFont="1" applyFill="1" applyBorder="1" applyAlignment="1">
      <alignment vertical="center" wrapText="1"/>
    </xf>
    <xf numFmtId="0" fontId="12" fillId="10" borderId="3" xfId="0" applyFont="1" applyFill="1" applyBorder="1" applyAlignment="1">
      <alignment horizontal="center" vertical="center" wrapText="1"/>
    </xf>
    <xf numFmtId="0" fontId="12" fillId="10" borderId="3" xfId="2" applyNumberFormat="1" applyFont="1" applyFill="1" applyBorder="1" applyAlignment="1">
      <alignment horizontal="right" vertical="center" wrapText="1"/>
    </xf>
    <xf numFmtId="9" fontId="0" fillId="0" borderId="3" xfId="1" applyFont="1" applyBorder="1"/>
    <xf numFmtId="0" fontId="0" fillId="0" borderId="0" xfId="0" applyBorder="1"/>
    <xf numFmtId="0" fontId="0" fillId="0" borderId="24" xfId="0" applyBorder="1"/>
    <xf numFmtId="0" fontId="0" fillId="7" borderId="20" xfId="0" applyFill="1" applyBorder="1"/>
    <xf numFmtId="0" fontId="0" fillId="7" borderId="21" xfId="0" applyFill="1" applyBorder="1"/>
    <xf numFmtId="0" fontId="0" fillId="8" borderId="9" xfId="0" applyFill="1" applyBorder="1"/>
    <xf numFmtId="0" fontId="0" fillId="8" borderId="9" xfId="0" applyFill="1" applyBorder="1" applyAlignment="1"/>
    <xf numFmtId="0" fontId="0" fillId="8" borderId="0" xfId="0" applyFill="1" applyBorder="1"/>
    <xf numFmtId="0" fontId="0" fillId="8" borderId="10" xfId="0" applyFill="1" applyBorder="1"/>
    <xf numFmtId="0" fontId="0" fillId="7" borderId="22" xfId="0" applyFill="1" applyBorder="1"/>
    <xf numFmtId="0" fontId="0" fillId="7" borderId="23" xfId="0" applyFill="1" applyBorder="1"/>
    <xf numFmtId="0" fontId="0" fillId="7" borderId="3" xfId="0" applyFill="1" applyBorder="1"/>
    <xf numFmtId="165" fontId="0" fillId="0" borderId="3" xfId="0" applyNumberFormat="1" applyBorder="1"/>
    <xf numFmtId="44" fontId="0" fillId="0" borderId="0" xfId="0" applyNumberFormat="1" applyFill="1" applyBorder="1"/>
    <xf numFmtId="0" fontId="0" fillId="8" borderId="0" xfId="0" applyFill="1" applyBorder="1" applyAlignment="1"/>
    <xf numFmtId="9" fontId="0" fillId="8" borderId="0" xfId="1" applyFont="1" applyFill="1" applyBorder="1" applyAlignment="1"/>
    <xf numFmtId="176" fontId="0" fillId="8" borderId="0" xfId="0" applyNumberFormat="1" applyFill="1" applyBorder="1" applyAlignment="1"/>
    <xf numFmtId="0" fontId="19" fillId="8" borderId="0" xfId="0" applyFont="1" applyFill="1"/>
    <xf numFmtId="0" fontId="19" fillId="8" borderId="9" xfId="0" applyFont="1" applyFill="1" applyBorder="1" applyAlignment="1"/>
    <xf numFmtId="0" fontId="20" fillId="7" borderId="20" xfId="0" applyFont="1" applyFill="1" applyBorder="1"/>
    <xf numFmtId="0" fontId="20" fillId="7" borderId="21" xfId="0" applyFont="1" applyFill="1" applyBorder="1"/>
    <xf numFmtId="0" fontId="19" fillId="8" borderId="0" xfId="0" applyFont="1" applyFill="1" applyBorder="1"/>
    <xf numFmtId="0" fontId="20" fillId="8" borderId="6" xfId="0" applyFont="1" applyFill="1" applyBorder="1" applyAlignment="1"/>
    <xf numFmtId="0" fontId="20" fillId="7" borderId="3" xfId="0" applyFont="1" applyFill="1" applyBorder="1"/>
    <xf numFmtId="0" fontId="19" fillId="8" borderId="9" xfId="0" applyFont="1" applyFill="1" applyBorder="1"/>
    <xf numFmtId="0" fontId="19" fillId="8" borderId="10" xfId="0" applyFont="1" applyFill="1" applyBorder="1"/>
    <xf numFmtId="0" fontId="20" fillId="7" borderId="22" xfId="0" applyFont="1" applyFill="1" applyBorder="1"/>
    <xf numFmtId="0" fontId="0" fillId="0" borderId="3" xfId="0" applyFill="1" applyBorder="1"/>
    <xf numFmtId="5" fontId="0" fillId="0" borderId="0" xfId="2" applyNumberFormat="1" applyFont="1"/>
    <xf numFmtId="0" fontId="22" fillId="8" borderId="0" xfId="0" applyFont="1" applyFill="1"/>
    <xf numFmtId="0" fontId="23" fillId="8" borderId="0" xfId="0" applyFont="1" applyFill="1"/>
    <xf numFmtId="9" fontId="12" fillId="10" borderId="3" xfId="1" applyFont="1" applyFill="1" applyBorder="1" applyAlignment="1">
      <alignment horizontal="right" vertical="center" wrapText="1"/>
    </xf>
    <xf numFmtId="177" fontId="12" fillId="10" borderId="3" xfId="2" applyNumberFormat="1" applyFont="1" applyFill="1" applyBorder="1" applyAlignment="1">
      <alignment horizontal="right" vertical="center" wrapText="1"/>
    </xf>
    <xf numFmtId="0" fontId="23" fillId="8" borderId="0" xfId="0" applyFont="1" applyFill="1" applyBorder="1" applyAlignment="1"/>
    <xf numFmtId="0" fontId="16" fillId="8" borderId="0" xfId="0" applyFont="1" applyFill="1" applyBorder="1" applyAlignment="1">
      <alignment wrapText="1"/>
    </xf>
    <xf numFmtId="0" fontId="20" fillId="7" borderId="28" xfId="0" applyFont="1" applyFill="1" applyBorder="1"/>
    <xf numFmtId="0" fontId="20" fillId="8" borderId="9" xfId="0" applyFont="1" applyFill="1" applyBorder="1" applyAlignment="1"/>
    <xf numFmtId="166" fontId="19" fillId="12" borderId="3" xfId="0" applyNumberFormat="1" applyFont="1" applyFill="1" applyBorder="1"/>
    <xf numFmtId="166" fontId="19" fillId="0" borderId="3" xfId="0" applyNumberFormat="1" applyFont="1" applyBorder="1"/>
    <xf numFmtId="0" fontId="20" fillId="7" borderId="4" xfId="0" applyFont="1" applyFill="1" applyBorder="1"/>
    <xf numFmtId="0" fontId="0" fillId="8" borderId="12" xfId="0" applyFill="1" applyBorder="1"/>
    <xf numFmtId="166" fontId="16" fillId="8" borderId="20" xfId="0" applyNumberFormat="1" applyFont="1" applyFill="1" applyBorder="1"/>
    <xf numFmtId="0" fontId="16" fillId="0" borderId="3" xfId="0" applyFont="1" applyBorder="1" applyAlignment="1" applyProtection="1">
      <alignment horizontal="right"/>
      <protection locked="0"/>
    </xf>
    <xf numFmtId="0" fontId="16" fillId="0" borderId="3" xfId="0" applyFont="1" applyBorder="1" applyProtection="1">
      <protection locked="0"/>
    </xf>
    <xf numFmtId="9" fontId="16" fillId="0" borderId="3" xfId="0" applyNumberFormat="1" applyFont="1" applyBorder="1" applyProtection="1">
      <protection locked="0"/>
    </xf>
    <xf numFmtId="0" fontId="0" fillId="8" borderId="3" xfId="0" applyFill="1" applyBorder="1"/>
    <xf numFmtId="0" fontId="12" fillId="7" borderId="5" xfId="0" applyFont="1" applyFill="1" applyBorder="1" applyAlignment="1">
      <alignment horizontal="center" vertical="center"/>
    </xf>
    <xf numFmtId="0" fontId="0" fillId="8" borderId="20" xfId="0" applyFill="1" applyBorder="1"/>
    <xf numFmtId="0" fontId="0" fillId="8" borderId="17" xfId="0" applyFill="1" applyBorder="1"/>
    <xf numFmtId="4" fontId="0" fillId="8" borderId="0" xfId="0" applyNumberFormat="1" applyFill="1"/>
    <xf numFmtId="0" fontId="24" fillId="0" borderId="3" xfId="0" applyFont="1" applyBorder="1" applyAlignment="1">
      <alignment horizontal="left" vertical="center"/>
    </xf>
    <xf numFmtId="0" fontId="24" fillId="0" borderId="3" xfId="0" applyFont="1" applyBorder="1" applyAlignment="1">
      <alignment horizontal="justify" vertical="center"/>
    </xf>
    <xf numFmtId="0" fontId="24" fillId="0" borderId="17" xfId="0" applyFont="1" applyBorder="1" applyAlignment="1">
      <alignment horizontal="left" vertical="center"/>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4" fillId="0" borderId="31" xfId="0" applyFont="1" applyBorder="1" applyAlignment="1">
      <alignment vertical="center"/>
    </xf>
    <xf numFmtId="166" fontId="26" fillId="0" borderId="0" xfId="0" applyNumberFormat="1" applyFont="1" applyAlignment="1">
      <alignment wrapText="1"/>
    </xf>
    <xf numFmtId="4" fontId="27" fillId="8" borderId="32" xfId="0" applyNumberFormat="1" applyFont="1" applyFill="1" applyBorder="1" applyAlignment="1">
      <alignment horizontal="right" vertical="center" wrapText="1"/>
    </xf>
    <xf numFmtId="0" fontId="27" fillId="8" borderId="32" xfId="0" applyFont="1" applyFill="1" applyBorder="1" applyAlignment="1">
      <alignment horizontal="right" vertical="center" wrapText="1"/>
    </xf>
    <xf numFmtId="0" fontId="24" fillId="0" borderId="0" xfId="0" applyFont="1" applyBorder="1" applyAlignment="1">
      <alignment vertical="center"/>
    </xf>
    <xf numFmtId="0" fontId="24" fillId="0" borderId="0" xfId="0" applyFont="1" applyBorder="1" applyAlignment="1">
      <alignment wrapText="1"/>
    </xf>
    <xf numFmtId="164" fontId="0" fillId="0" borderId="0" xfId="2" applyNumberFormat="1" applyFont="1"/>
    <xf numFmtId="0" fontId="6" fillId="0" borderId="0" xfId="0" applyFont="1" applyAlignment="1">
      <alignment horizontal="center"/>
    </xf>
    <xf numFmtId="0" fontId="0" fillId="0" borderId="0" xfId="0" applyFont="1" applyAlignment="1">
      <alignment vertical="top"/>
    </xf>
    <xf numFmtId="0" fontId="0" fillId="14" borderId="3" xfId="0" applyFill="1" applyBorder="1" applyAlignment="1">
      <alignment horizontal="center"/>
    </xf>
    <xf numFmtId="170" fontId="0" fillId="0" borderId="0" xfId="0" applyNumberFormat="1"/>
    <xf numFmtId="170" fontId="0" fillId="0" borderId="3" xfId="1" applyNumberFormat="1" applyFont="1" applyBorder="1" applyAlignment="1">
      <alignment horizontal="center"/>
    </xf>
    <xf numFmtId="0" fontId="0" fillId="8" borderId="0" xfId="0" applyFill="1" applyAlignment="1">
      <alignment horizontal="center"/>
    </xf>
    <xf numFmtId="0" fontId="29" fillId="8" borderId="0" xfId="0" applyFont="1" applyFill="1"/>
    <xf numFmtId="0" fontId="0" fillId="0" borderId="0" xfId="0"/>
    <xf numFmtId="165" fontId="0" fillId="0" borderId="0" xfId="3" applyFont="1"/>
    <xf numFmtId="165" fontId="0" fillId="0" borderId="0" xfId="3" applyFont="1" applyAlignment="1">
      <alignment wrapText="1"/>
    </xf>
    <xf numFmtId="165" fontId="0" fillId="0" borderId="3" xfId="3" applyFont="1" applyBorder="1"/>
    <xf numFmtId="165" fontId="0" fillId="0" borderId="0" xfId="3" applyFont="1" applyBorder="1"/>
    <xf numFmtId="44" fontId="0" fillId="0" borderId="2" xfId="0" applyNumberFormat="1" applyBorder="1"/>
    <xf numFmtId="165" fontId="0" fillId="0" borderId="34" xfId="3" applyFont="1" applyBorder="1"/>
    <xf numFmtId="0" fontId="2" fillId="0" borderId="0" xfId="0" applyFont="1" applyAlignment="1">
      <alignment horizontal="center"/>
    </xf>
    <xf numFmtId="10" fontId="0" fillId="0" borderId="0" xfId="0" applyNumberFormat="1"/>
    <xf numFmtId="178" fontId="0" fillId="0" borderId="3" xfId="0" applyNumberFormat="1" applyBorder="1"/>
    <xf numFmtId="0" fontId="0" fillId="8" borderId="0" xfId="0" applyFill="1" applyBorder="1" applyAlignment="1">
      <alignment horizontal="center"/>
    </xf>
    <xf numFmtId="170" fontId="0" fillId="8" borderId="0" xfId="1" applyNumberFormat="1" applyFont="1" applyFill="1" applyBorder="1" applyAlignment="1">
      <alignment horizontal="center"/>
    </xf>
    <xf numFmtId="0" fontId="0" fillId="10" borderId="3" xfId="0" applyFill="1" applyBorder="1"/>
    <xf numFmtId="0" fontId="31" fillId="11" borderId="3" xfId="0" applyFont="1" applyFill="1" applyBorder="1" applyAlignment="1">
      <alignment horizontal="center"/>
    </xf>
    <xf numFmtId="0" fontId="0" fillId="14" borderId="3" xfId="0" applyFill="1" applyBorder="1" applyAlignment="1">
      <alignment horizontal="center" vertical="center"/>
    </xf>
    <xf numFmtId="1" fontId="0" fillId="10" borderId="3" xfId="0" applyNumberFormat="1" applyFill="1" applyBorder="1" applyAlignment="1">
      <alignment horizontal="center"/>
    </xf>
    <xf numFmtId="178" fontId="0" fillId="0" borderId="0" xfId="0" applyNumberFormat="1"/>
    <xf numFmtId="0" fontId="0" fillId="14" borderId="5" xfId="0" applyFill="1" applyBorder="1" applyAlignment="1">
      <alignment horizontal="center"/>
    </xf>
    <xf numFmtId="0" fontId="31" fillId="11" borderId="5" xfId="0" applyFont="1" applyFill="1" applyBorder="1" applyAlignment="1">
      <alignment horizontal="center"/>
    </xf>
    <xf numFmtId="0" fontId="14" fillId="10" borderId="3" xfId="0" applyFont="1" applyFill="1" applyBorder="1" applyAlignment="1">
      <alignment horizontal="center"/>
    </xf>
    <xf numFmtId="0" fontId="16" fillId="11" borderId="3" xfId="0" applyFont="1" applyFill="1" applyBorder="1" applyAlignment="1">
      <alignment horizontal="left"/>
    </xf>
    <xf numFmtId="0" fontId="12" fillId="7" borderId="3" xfId="0" applyFont="1" applyFill="1" applyBorder="1" applyAlignment="1">
      <alignment horizontal="center"/>
    </xf>
    <xf numFmtId="0" fontId="12" fillId="7" borderId="4" xfId="0" applyFont="1" applyFill="1" applyBorder="1" applyAlignment="1">
      <alignment horizontal="center"/>
    </xf>
    <xf numFmtId="0" fontId="12" fillId="7" borderId="3" xfId="0" applyFont="1" applyFill="1" applyBorder="1" applyAlignment="1">
      <alignment horizontal="center" vertical="center"/>
    </xf>
    <xf numFmtId="0" fontId="15" fillId="7" borderId="3"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6" fillId="11" borderId="3" xfId="0" applyFont="1" applyFill="1" applyBorder="1" applyAlignment="1">
      <alignment horizontal="right"/>
    </xf>
    <xf numFmtId="0" fontId="16" fillId="11" borderId="4" xfId="0" applyFont="1" applyFill="1" applyBorder="1" applyAlignment="1">
      <alignment horizontal="right"/>
    </xf>
    <xf numFmtId="0" fontId="16" fillId="11" borderId="5" xfId="0" applyFont="1" applyFill="1" applyBorder="1" applyAlignment="1">
      <alignment horizontal="right"/>
    </xf>
    <xf numFmtId="0" fontId="14" fillId="10" borderId="0" xfId="0" applyFont="1" applyFill="1" applyAlignment="1">
      <alignment horizontal="center"/>
    </xf>
    <xf numFmtId="0" fontId="28" fillId="7" borderId="0" xfId="0" applyFont="1" applyFill="1" applyBorder="1" applyAlignment="1">
      <alignment horizontal="center" vertical="center" wrapText="1"/>
    </xf>
    <xf numFmtId="0" fontId="23" fillId="8" borderId="0" xfId="0" applyFont="1" applyFill="1" applyBorder="1" applyAlignment="1">
      <alignment horizontal="left" wrapText="1"/>
    </xf>
    <xf numFmtId="0" fontId="12" fillId="7" borderId="3" xfId="0" applyFont="1" applyFill="1" applyBorder="1" applyAlignment="1">
      <alignment horizontal="center" vertical="center" wrapText="1"/>
    </xf>
    <xf numFmtId="0" fontId="16" fillId="0" borderId="3" xfId="0" applyFont="1" applyBorder="1" applyAlignment="1" applyProtection="1">
      <alignment horizontal="center" wrapText="1"/>
      <protection locked="0"/>
    </xf>
    <xf numFmtId="0" fontId="2" fillId="0" borderId="0" xfId="0" applyFont="1" applyAlignment="1">
      <alignment horizontal="center"/>
    </xf>
    <xf numFmtId="0" fontId="0" fillId="0" borderId="4" xfId="0" applyBorder="1" applyAlignment="1">
      <alignment horizontal="left"/>
    </xf>
    <xf numFmtId="0" fontId="0" fillId="0" borderId="33" xfId="0" applyBorder="1" applyAlignment="1">
      <alignment horizontal="left"/>
    </xf>
    <xf numFmtId="0" fontId="0" fillId="0" borderId="5" xfId="0" applyBorder="1" applyAlignment="1">
      <alignment horizontal="left"/>
    </xf>
    <xf numFmtId="0" fontId="7" fillId="0" borderId="0" xfId="0" applyFont="1" applyAlignment="1">
      <alignment horizontal="center"/>
    </xf>
    <xf numFmtId="0" fontId="6" fillId="0" borderId="0" xfId="0" applyFont="1" applyAlignment="1">
      <alignment horizont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2" fillId="7" borderId="15" xfId="0" applyFont="1" applyFill="1" applyBorder="1" applyAlignment="1">
      <alignment horizontal="center"/>
    </xf>
    <xf numFmtId="0" fontId="2" fillId="7" borderId="16" xfId="0" applyFont="1" applyFill="1" applyBorder="1" applyAlignment="1">
      <alignment horizontal="center"/>
    </xf>
    <xf numFmtId="0" fontId="2" fillId="7" borderId="19" xfId="0" applyFont="1" applyFill="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14" borderId="4" xfId="0" applyFill="1" applyBorder="1" applyAlignment="1">
      <alignment horizontal="center"/>
    </xf>
    <xf numFmtId="0" fontId="0" fillId="14" borderId="33" xfId="0" applyFill="1" applyBorder="1" applyAlignment="1">
      <alignment horizontal="center"/>
    </xf>
    <xf numFmtId="0" fontId="0" fillId="14" borderId="5" xfId="0" applyFill="1" applyBorder="1" applyAlignment="1">
      <alignment horizontal="center"/>
    </xf>
    <xf numFmtId="0" fontId="31" fillId="11" borderId="4" xfId="0" applyFont="1" applyFill="1" applyBorder="1" applyAlignment="1">
      <alignment horizontal="center"/>
    </xf>
    <xf numFmtId="0" fontId="31" fillId="11" borderId="33" xfId="0" applyFont="1" applyFill="1" applyBorder="1" applyAlignment="1">
      <alignment horizontal="center"/>
    </xf>
    <xf numFmtId="0" fontId="31" fillId="11" borderId="5" xfId="0" applyFont="1" applyFill="1" applyBorder="1" applyAlignment="1">
      <alignment horizontal="center"/>
    </xf>
    <xf numFmtId="0" fontId="32" fillId="8" borderId="2" xfId="0" applyFont="1" applyFill="1" applyBorder="1" applyAlignment="1">
      <alignment horizontal="center" vertical="center"/>
    </xf>
    <xf numFmtId="0" fontId="2" fillId="9" borderId="34" xfId="0" applyFont="1" applyFill="1" applyBorder="1" applyAlignment="1">
      <alignment horizontal="center" vertical="top"/>
    </xf>
    <xf numFmtId="0" fontId="2" fillId="9" borderId="0" xfId="0" applyFont="1" applyFill="1" applyBorder="1" applyAlignment="1">
      <alignment horizontal="center" vertical="top"/>
    </xf>
    <xf numFmtId="0" fontId="2" fillId="9" borderId="1" xfId="0" applyFont="1" applyFill="1" applyBorder="1" applyAlignment="1">
      <alignment horizontal="center" vertical="top"/>
    </xf>
    <xf numFmtId="0" fontId="2" fillId="9" borderId="18" xfId="0" applyFont="1" applyFill="1" applyBorder="1" applyAlignment="1">
      <alignment horizontal="center" vertical="top"/>
    </xf>
    <xf numFmtId="0" fontId="2" fillId="9" borderId="2" xfId="0" applyFont="1" applyFill="1" applyBorder="1" applyAlignment="1">
      <alignment horizontal="center" vertical="top"/>
    </xf>
    <xf numFmtId="0" fontId="2" fillId="9" borderId="35" xfId="0" applyFont="1" applyFill="1" applyBorder="1" applyAlignment="1">
      <alignment horizontal="center" vertical="top"/>
    </xf>
    <xf numFmtId="0" fontId="2" fillId="9" borderId="3" xfId="0" applyFont="1" applyFill="1" applyBorder="1" applyAlignment="1">
      <alignment horizontal="center"/>
    </xf>
    <xf numFmtId="0" fontId="2" fillId="9" borderId="3" xfId="0" applyFont="1" applyFill="1" applyBorder="1" applyAlignment="1">
      <alignment horizontal="center" vertical="top"/>
    </xf>
    <xf numFmtId="0" fontId="0" fillId="13" borderId="3" xfId="0" applyFill="1" applyBorder="1" applyAlignment="1">
      <alignment horizontal="center"/>
    </xf>
    <xf numFmtId="0" fontId="2" fillId="7" borderId="3" xfId="0" applyFont="1" applyFill="1" applyBorder="1" applyAlignment="1">
      <alignment horizontal="right"/>
    </xf>
    <xf numFmtId="0" fontId="0" fillId="0" borderId="3" xfId="0" applyBorder="1" applyAlignment="1">
      <alignment horizontal="right"/>
    </xf>
    <xf numFmtId="0" fontId="2" fillId="7" borderId="25" xfId="0" applyFont="1" applyFill="1" applyBorder="1" applyAlignment="1">
      <alignment horizontal="center"/>
    </xf>
    <xf numFmtId="0" fontId="2" fillId="7" borderId="26" xfId="0" applyFont="1" applyFill="1" applyBorder="1" applyAlignment="1">
      <alignment horizontal="center"/>
    </xf>
    <xf numFmtId="0" fontId="2" fillId="7" borderId="27" xfId="0" applyFont="1" applyFill="1" applyBorder="1" applyAlignment="1">
      <alignment horizontal="center"/>
    </xf>
    <xf numFmtId="0" fontId="2" fillId="7" borderId="3" xfId="0" applyFont="1" applyFill="1" applyBorder="1" applyAlignment="1">
      <alignment horizontal="center"/>
    </xf>
    <xf numFmtId="9" fontId="0" fillId="0" borderId="3" xfId="1" applyFont="1" applyBorder="1" applyAlignment="1">
      <alignment horizontal="right"/>
    </xf>
    <xf numFmtId="176" fontId="0" fillId="0" borderId="3" xfId="0" applyNumberFormat="1" applyBorder="1" applyAlignment="1">
      <alignment horizontal="right"/>
    </xf>
    <xf numFmtId="0" fontId="0" fillId="0" borderId="0" xfId="0" applyFont="1" applyFill="1" applyBorder="1" applyAlignment="1">
      <alignment horizontal="left" vertical="top" wrapText="1"/>
    </xf>
    <xf numFmtId="0" fontId="3" fillId="0" borderId="0" xfId="0" applyFont="1" applyAlignment="1">
      <alignment horizontal="left"/>
    </xf>
    <xf numFmtId="0" fontId="2" fillId="6" borderId="4" xfId="0" applyFont="1" applyFill="1" applyBorder="1" applyAlignment="1">
      <alignment horizontal="center"/>
    </xf>
    <xf numFmtId="0" fontId="2" fillId="6" borderId="5" xfId="0" applyFont="1" applyFill="1" applyBorder="1" applyAlignment="1">
      <alignment horizontal="center"/>
    </xf>
    <xf numFmtId="0" fontId="2" fillId="6" borderId="2" xfId="0" applyFont="1" applyFill="1" applyBorder="1" applyAlignment="1">
      <alignment horizontal="center"/>
    </xf>
    <xf numFmtId="0" fontId="2" fillId="9" borderId="5" xfId="0" applyFont="1" applyFill="1" applyBorder="1" applyAlignment="1">
      <alignment horizontal="center" vertical="top"/>
    </xf>
    <xf numFmtId="0" fontId="32" fillId="8" borderId="0" xfId="0" applyFont="1" applyFill="1" applyBorder="1" applyAlignment="1">
      <alignment horizontal="center" vertical="center"/>
    </xf>
    <xf numFmtId="0" fontId="2" fillId="9" borderId="36" xfId="0" applyFont="1" applyFill="1" applyBorder="1" applyAlignment="1">
      <alignment horizontal="center"/>
    </xf>
    <xf numFmtId="0" fontId="2" fillId="9" borderId="37" xfId="0" applyFont="1" applyFill="1" applyBorder="1" applyAlignment="1">
      <alignment horizontal="center"/>
    </xf>
    <xf numFmtId="0" fontId="2" fillId="9" borderId="37" xfId="0" applyFont="1" applyFill="1" applyBorder="1" applyAlignment="1">
      <alignment horizontal="center" vertical="top"/>
    </xf>
    <xf numFmtId="0" fontId="2" fillId="9" borderId="38" xfId="0" applyFont="1" applyFill="1" applyBorder="1" applyAlignment="1">
      <alignment horizontal="center" vertical="top"/>
    </xf>
    <xf numFmtId="0" fontId="0" fillId="13" borderId="22" xfId="0" applyFill="1" applyBorder="1" applyAlignment="1">
      <alignment horizontal="center"/>
    </xf>
    <xf numFmtId="0" fontId="2" fillId="9" borderId="39" xfId="0" applyFont="1" applyFill="1" applyBorder="1" applyAlignment="1">
      <alignment horizontal="center" vertical="top"/>
    </xf>
    <xf numFmtId="0" fontId="0" fillId="14" borderId="22" xfId="0" applyFill="1" applyBorder="1" applyAlignment="1">
      <alignment horizontal="center"/>
    </xf>
    <xf numFmtId="0" fontId="0" fillId="14" borderId="39" xfId="0" applyFill="1" applyBorder="1" applyAlignment="1">
      <alignment horizontal="center"/>
    </xf>
    <xf numFmtId="0" fontId="31" fillId="11" borderId="23" xfId="0" applyFont="1" applyFill="1" applyBorder="1" applyAlignment="1">
      <alignment horizontal="center"/>
    </xf>
    <xf numFmtId="0" fontId="31" fillId="11" borderId="24" xfId="0" applyFont="1" applyFill="1" applyBorder="1" applyAlignment="1">
      <alignment horizontal="center"/>
    </xf>
    <xf numFmtId="170" fontId="0" fillId="0" borderId="24" xfId="1" applyNumberFormat="1" applyFont="1" applyBorder="1" applyAlignment="1">
      <alignment horizontal="center"/>
    </xf>
    <xf numFmtId="0" fontId="30" fillId="11" borderId="24" xfId="0" applyFont="1" applyFill="1" applyBorder="1" applyAlignment="1">
      <alignment horizontal="center"/>
    </xf>
    <xf numFmtId="170" fontId="0" fillId="0" borderId="40" xfId="1" applyNumberFormat="1" applyFont="1" applyBorder="1" applyAlignment="1">
      <alignment horizontal="center"/>
    </xf>
    <xf numFmtId="0" fontId="0" fillId="14" borderId="6" xfId="0" applyFill="1" applyBorder="1" applyAlignment="1">
      <alignment horizontal="center"/>
    </xf>
    <xf numFmtId="0" fontId="0" fillId="14" borderId="7" xfId="0" applyFill="1" applyBorder="1" applyAlignment="1">
      <alignment horizontal="center"/>
    </xf>
    <xf numFmtId="1" fontId="0" fillId="0" borderId="24" xfId="1" applyNumberFormat="1" applyFont="1" applyBorder="1" applyAlignment="1">
      <alignment horizontal="center"/>
    </xf>
    <xf numFmtId="0" fontId="0" fillId="0" borderId="24" xfId="1" applyNumberFormat="1" applyFont="1" applyBorder="1" applyAlignment="1">
      <alignment horizontal="center"/>
    </xf>
  </cellXfs>
  <cellStyles count="4">
    <cellStyle name="Currency" xfId="2" builtinId="4"/>
    <cellStyle name="Currency 2" xfId="3"/>
    <cellStyle name="Normal" xfId="0" builtinId="0"/>
    <cellStyle name="Percent" xfId="1" builtinId="5"/>
  </cellStyles>
  <dxfs count="18">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color rgb="FFFF0000"/>
      </font>
    </dxf>
    <dxf>
      <font>
        <color rgb="FF00B050"/>
      </font>
    </dxf>
    <dxf>
      <font>
        <color rgb="FFFF0000"/>
      </font>
    </dxf>
    <dxf>
      <font>
        <color rgb="FF00B050"/>
      </font>
    </dxf>
    <dxf>
      <font>
        <b/>
        <i val="0"/>
        <color theme="6" tint="-0.499984740745262"/>
      </font>
    </dxf>
    <dxf>
      <font>
        <b/>
        <i val="0"/>
        <color rgb="FFFF0000"/>
      </font>
    </dxf>
    <dxf>
      <font>
        <b/>
        <i val="0"/>
        <color theme="6" tint="-0.499984740745262"/>
      </font>
    </dxf>
    <dxf>
      <font>
        <b/>
        <i val="0"/>
        <color rgb="FFFF0000"/>
      </font>
    </dxf>
    <dxf>
      <numFmt numFmtId="177" formatCode="&quot;$&quot;#&quot;m&quot;"/>
    </dxf>
    <dxf>
      <numFmt numFmtId="179" formatCode="#&quot;%&quot;"/>
    </dxf>
    <dxf>
      <font>
        <color auto="1"/>
      </font>
      <fill>
        <patternFill>
          <bgColor theme="1"/>
        </patternFill>
      </fill>
      <border>
        <left/>
        <right/>
        <top/>
        <bottom/>
      </border>
    </dxf>
    <dxf>
      <font>
        <b val="0"/>
        <i val="0"/>
        <color theme="2" tint="-9.9948118533890809E-2"/>
      </font>
      <fill>
        <patternFill>
          <bgColor theme="2" tint="-9.9948118533890809E-2"/>
        </patternFill>
      </fill>
      <border>
        <left/>
        <right/>
        <top style="thin">
          <color auto="1"/>
        </top>
        <bottom style="thin">
          <color auto="1"/>
        </bottom>
      </border>
    </dxf>
    <dxf>
      <font>
        <b/>
        <i val="0"/>
        <color theme="6" tint="-0.499984740745262"/>
      </font>
    </dxf>
    <dxf>
      <font>
        <b/>
        <i val="0"/>
        <color rgb="FFFF0000"/>
      </font>
    </dxf>
  </dxfs>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30-EC42-11CE-9E0D-00AA006002F3}" ax:persistence="persistStreamInit" r:id="rId1"/>
</file>

<file path=xl/activeX/activeX12.xml><?xml version="1.0" encoding="utf-8"?>
<ax:ocx xmlns:ax="http://schemas.microsoft.com/office/2006/activeX" xmlns:r="http://schemas.openxmlformats.org/officeDocument/2006/relationships" ax:classid="{8BD21D3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1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30-EC42-11CE-9E0D-00AA006002F3}" ax:persistence="persistStreamInit" r:id="rId1"/>
</file>

<file path=xl/activeX/activeX42.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30-EC42-11CE-9E0D-00AA006002F3}" ax:persistence="persistStreamInit" r:id="rId1"/>
</file>

<file path=xl/activeX/activeX8.xml><?xml version="1.0" encoding="utf-8"?>
<ax:ocx xmlns:ax="http://schemas.microsoft.com/office/2006/activeX" xmlns:r="http://schemas.openxmlformats.org/officeDocument/2006/relationships" ax:classid="{8BD21D3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charts/_rels/chart12.xml.rels><?xml version="1.0" encoding="UTF-8" standalone="yes"?>
<Relationships xmlns="http://schemas.openxmlformats.org/package/2006/relationships"><Relationship Id="rId1" Type="http://schemas.openxmlformats.org/officeDocument/2006/relationships/image" Target="../media/image21.jpeg"/></Relationships>
</file>

<file path=xl/charts/_rels/chart13.xml.rels><?xml version="1.0" encoding="UTF-8" standalone="yes"?>
<Relationships xmlns="http://schemas.openxmlformats.org/package/2006/relationships"><Relationship Id="rId1" Type="http://schemas.openxmlformats.org/officeDocument/2006/relationships/image" Target="../media/image21.jpeg"/></Relationships>
</file>

<file path=xl/charts/_rels/chart14.xml.rels><?xml version="1.0" encoding="UTF-8" standalone="yes"?>
<Relationships xmlns="http://schemas.openxmlformats.org/package/2006/relationships"><Relationship Id="rId1" Type="http://schemas.openxmlformats.org/officeDocument/2006/relationships/image" Target="../media/image21.jpeg"/></Relationships>
</file>

<file path=xl/charts/_rels/chart15.xml.rels><?xml version="1.0" encoding="UTF-8" standalone="yes"?>
<Relationships xmlns="http://schemas.openxmlformats.org/package/2006/relationships"><Relationship Id="rId1" Type="http://schemas.openxmlformats.org/officeDocument/2006/relationships/image" Target="../media/image21.jpeg"/></Relationships>
</file>

<file path=xl/charts/_rels/chart16.xml.rels><?xml version="1.0" encoding="UTF-8" standalone="yes"?>
<Relationships xmlns="http://schemas.openxmlformats.org/package/2006/relationships"><Relationship Id="rId1" Type="http://schemas.openxmlformats.org/officeDocument/2006/relationships/image" Target="../media/image21.jpeg"/></Relationships>
</file>

<file path=xl/charts/_rels/chart17.xml.rels><?xml version="1.0" encoding="UTF-8" standalone="yes"?>
<Relationships xmlns="http://schemas.openxmlformats.org/package/2006/relationships"><Relationship Id="rId1" Type="http://schemas.openxmlformats.org/officeDocument/2006/relationships/image" Target="../media/image21.jpeg"/></Relationships>
</file>

<file path=xl/charts/_rels/chart18.xml.rels><?xml version="1.0" encoding="UTF-8" standalone="yes"?>
<Relationships xmlns="http://schemas.openxmlformats.org/package/2006/relationships"><Relationship Id="rId1" Type="http://schemas.openxmlformats.org/officeDocument/2006/relationships/image" Target="../media/image21.jpeg"/></Relationships>
</file>

<file path=xl/charts/_rels/chart19.xml.rels><?xml version="1.0" encoding="UTF-8" standalone="yes"?>
<Relationships xmlns="http://schemas.openxmlformats.org/package/2006/relationships"><Relationship Id="rId1" Type="http://schemas.openxmlformats.org/officeDocument/2006/relationships/image" Target="../media/image21.jpeg"/></Relationships>
</file>

<file path=xl/charts/_rels/chart22.xml.rels><?xml version="1.0" encoding="UTF-8" standalone="yes"?>
<Relationships xmlns="http://schemas.openxmlformats.org/package/2006/relationships"><Relationship Id="rId1" Type="http://schemas.openxmlformats.org/officeDocument/2006/relationships/image" Target="../media/image21.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'Machine Calculations'!$B$98</c:f>
          <c:strCache>
            <c:ptCount val="1"/>
            <c:pt idx="0">
              <c:v>Japan at VoP Growth Rate: 3% and TDS Growth Rate: 3%</c:v>
            </c:pt>
          </c:strCache>
        </c:strRef>
      </c:tx>
      <c:layout/>
      <c:overlay val="0"/>
      <c:txPr>
        <a:bodyPr/>
        <a:lstStyle/>
        <a:p>
          <a:pPr>
            <a:defRPr sz="2000"/>
          </a:pPr>
          <a:endParaRPr lang="en-US"/>
        </a:p>
      </c:txPr>
    </c:title>
    <c:autoTitleDeleted val="0"/>
    <c:plotArea>
      <c:layout>
        <c:manualLayout>
          <c:layoutTarget val="inner"/>
          <c:xMode val="edge"/>
          <c:yMode val="edge"/>
          <c:x val="0.12729928436250948"/>
          <c:y val="0.20857710080743755"/>
          <c:w val="0.84676182721875815"/>
          <c:h val="0.69631941449101764"/>
        </c:manualLayout>
      </c:layout>
      <c:barChart>
        <c:barDir val="col"/>
        <c:grouping val="clustered"/>
        <c:varyColors val="0"/>
        <c:ser>
          <c:idx val="5"/>
          <c:order val="5"/>
          <c:tx>
            <c:strRef>
              <c:f>'Machine Calculations'!$A$81</c:f>
              <c:strCache>
                <c:ptCount val="1"/>
              </c:strCache>
            </c:strRef>
          </c:tx>
          <c:spPr>
            <a:solidFill>
              <a:srgbClr val="00B050">
                <a:alpha val="20000"/>
              </a:srgbClr>
            </a:solidFill>
            <a:ln>
              <a:noFill/>
            </a:ln>
          </c:spPr>
          <c:invertIfNegative val="1"/>
          <c:cat>
            <c:numRef>
              <c:f>'Machine Calculations'!$B$78:$Z$78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Calculations'!$B$81:$Z$81</c:f>
              <c:numCache>
                <c:formatCode>"$"#,##0_);\("$"#,##0\)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0-BBD9-4ECC-9493-E08FC72CA70B}"/>
            </c:ext>
            <c:ext xmlns:c14="http://schemas.microsoft.com/office/drawing/2007/8/2/chart" uri="{6F2FDCE9-48DA-4B69-8628-5D25D57E5C99}">
              <c14:invertSolidFillFmt>
                <c14:spPr xmlns:c14="http://schemas.microsoft.com/office/drawing/2007/8/2/chart">
                  <a:solidFill>
                    <a:srgbClr val="FF0000"/>
                  </a:solidFill>
                  <a:ln>
                    <a:noFill/>
                  </a:ln>
                </c14:spPr>
              </c14:invertSolidFillFmt>
            </c:ext>
          </c:extLst>
        </c:ser>
        <c:dLbls>
          <c:showLegendKey val="0"/>
          <c:showVal val="0"/>
          <c:showCatName val="0"/>
          <c:showSerName val="0"/>
          <c:showPercent val="0"/>
          <c:showBubbleSize val="0"/>
        </c:dLbls>
        <c:gapWidth val="150"/>
        <c:axId val="339409152"/>
        <c:axId val="398995456"/>
      </c:barChart>
      <c:lineChart>
        <c:grouping val="standard"/>
        <c:varyColors val="0"/>
        <c:ser>
          <c:idx val="0"/>
          <c:order val="0"/>
          <c:tx>
            <c:strRef>
              <c:f>'Machine Calculations'!$A$45</c:f>
              <c:strCache>
                <c:ptCount val="1"/>
              </c:strCache>
            </c:strRef>
          </c:tx>
          <c:spPr>
            <a:ln w="44450">
              <a:solidFill>
                <a:srgbClr val="00B050"/>
              </a:solidFill>
              <a:prstDash val="lgDash"/>
            </a:ln>
          </c:spPr>
          <c:marker>
            <c:symbol val="none"/>
          </c:marker>
          <c:cat>
            <c:numRef>
              <c:f>'Machine Calculations'!$B$78:$Z$78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Calculations'!$B$45:$Z$45</c:f>
              <c:numCache>
                <c:formatCode>_("$"* #,##0.00_);_("$"* \(#,##0.00\);_("$"* "-"??_);_(@_)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07A1-492E-BCE3-3E3A79AA8D8A}"/>
            </c:ext>
          </c:extLst>
        </c:ser>
        <c:ser>
          <c:idx val="1"/>
          <c:order val="1"/>
          <c:tx>
            <c:strRef>
              <c:f>'Machine Calculations'!$A$46</c:f>
              <c:strCache>
                <c:ptCount val="1"/>
              </c:strCache>
            </c:strRef>
          </c:tx>
          <c:spPr>
            <a:ln w="44450">
              <a:solidFill>
                <a:srgbClr val="FF0000"/>
              </a:solidFill>
            </a:ln>
          </c:spPr>
          <c:marker>
            <c:symbol val="none"/>
          </c:marker>
          <c:cat>
            <c:numRef>
              <c:f>'Machine Calculations'!$B$78:$Z$78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Calculations'!$B$46:$Z$46</c:f>
              <c:numCache>
                <c:formatCode>_("$"* #,##0.00_);_("$"* \(#,##0.00\);_("$"* "-"??_);_(@_)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1-07A1-492E-BCE3-3E3A79AA8D8A}"/>
            </c:ext>
          </c:extLst>
        </c:ser>
        <c:ser>
          <c:idx val="2"/>
          <c:order val="2"/>
          <c:tx>
            <c:strRef>
              <c:f>'Machine Calculations'!$A$48</c:f>
              <c:strCache>
                <c:ptCount val="1"/>
                <c:pt idx="0">
                  <c:v>OTDS Developed Limit of 20%</c:v>
                </c:pt>
              </c:strCache>
            </c:strRef>
          </c:tx>
          <c:spPr>
            <a:ln w="38100">
              <a:solidFill>
                <a:schemeClr val="tx1"/>
              </a:solidFill>
              <a:prstDash val="sysDot"/>
            </a:ln>
          </c:spPr>
          <c:marker>
            <c:symbol val="none"/>
          </c:marker>
          <c:cat>
            <c:numRef>
              <c:f>'Machine Calculations'!$B$78:$Z$78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Calculations'!$B$48:$Z$48</c:f>
              <c:numCache>
                <c:formatCode>_("$"* #,##0.00_);_("$"* \(#,##0.00\);_("$"* "-"??_);_(@_)</c:formatCode>
                <c:ptCount val="25"/>
                <c:pt idx="0">
                  <c:v>14584545984.156548</c:v>
                </c:pt>
                <c:pt idx="1">
                  <c:v>14584545984.156548</c:v>
                </c:pt>
                <c:pt idx="2">
                  <c:v>14584545984.156548</c:v>
                </c:pt>
                <c:pt idx="3">
                  <c:v>14584545984.156548</c:v>
                </c:pt>
                <c:pt idx="4">
                  <c:v>14584545984.156548</c:v>
                </c:pt>
                <c:pt idx="5">
                  <c:v>14584545984.156548</c:v>
                </c:pt>
                <c:pt idx="6">
                  <c:v>14584545984.156548</c:v>
                </c:pt>
                <c:pt idx="7">
                  <c:v>14584545984.156548</c:v>
                </c:pt>
                <c:pt idx="8">
                  <c:v>14584545984.156548</c:v>
                </c:pt>
                <c:pt idx="9">
                  <c:v>14584545984.156548</c:v>
                </c:pt>
                <c:pt idx="10">
                  <c:v>14584545984.156548</c:v>
                </c:pt>
                <c:pt idx="11">
                  <c:v>14584545984.156548</c:v>
                </c:pt>
                <c:pt idx="12">
                  <c:v>14584545984.156548</c:v>
                </c:pt>
                <c:pt idx="13">
                  <c:v>14584545984.156548</c:v>
                </c:pt>
                <c:pt idx="14">
                  <c:v>14584545984.156548</c:v>
                </c:pt>
                <c:pt idx="15">
                  <c:v>14584545984.156548</c:v>
                </c:pt>
                <c:pt idx="16">
                  <c:v>14584545984.156548</c:v>
                </c:pt>
                <c:pt idx="17">
                  <c:v>14584545984.156548</c:v>
                </c:pt>
                <c:pt idx="18">
                  <c:v>14584545984.156548</c:v>
                </c:pt>
                <c:pt idx="19">
                  <c:v>14584545984.156548</c:v>
                </c:pt>
                <c:pt idx="20">
                  <c:v>14584545984.156548</c:v>
                </c:pt>
                <c:pt idx="21">
                  <c:v>14584545984.156548</c:v>
                </c:pt>
                <c:pt idx="22">
                  <c:v>14584545984.156548</c:v>
                </c:pt>
                <c:pt idx="23">
                  <c:v>14584545984.156548</c:v>
                </c:pt>
                <c:pt idx="24">
                  <c:v>14584545984.156548</c:v>
                </c:pt>
              </c:numCache>
            </c:numRef>
          </c:val>
          <c:smooth val="0"/>
          <c:extLst xmlns:c16r2="http://schemas.microsoft.com/office/drawing/2015/06/chart">
            <c:ext xmlns:c16="http://schemas.microsoft.com/office/drawing/2014/chart" uri="{C3380CC4-5D6E-409C-BE32-E72D297353CC}">
              <c16:uniqueId val="{00000002-07A1-492E-BCE3-3E3A79AA8D8A}"/>
            </c:ext>
          </c:extLst>
        </c:ser>
        <c:ser>
          <c:idx val="3"/>
          <c:order val="3"/>
          <c:tx>
            <c:strRef>
              <c:f>'Machine Calculations'!$A$47</c:f>
              <c:strCache>
                <c:ptCount val="1"/>
                <c:pt idx="0">
                  <c:v>AMS + De Minimis Spending</c:v>
                </c:pt>
              </c:strCache>
            </c:strRef>
          </c:tx>
          <c:spPr>
            <a:ln w="44450">
              <a:solidFill>
                <a:schemeClr val="accent6">
                  <a:lumMod val="75000"/>
                </a:schemeClr>
              </a:solidFill>
            </a:ln>
          </c:spPr>
          <c:marker>
            <c:symbol val="none"/>
          </c:marker>
          <c:cat>
            <c:numRef>
              <c:f>'Machine Calculations'!$B$78:$Z$78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Calculations'!$B$47:$Z$47</c:f>
              <c:numCache>
                <c:formatCode>_("$"* #,##0.00_);_("$"* \(#,##0.00\);_("$"* "-"??_);_(@_)</c:formatCode>
                <c:ptCount val="25"/>
                <c:pt idx="0">
                  <c:v>5083599507.8195124</c:v>
                </c:pt>
                <c:pt idx="1">
                  <c:v>4186706648.5890331</c:v>
                </c:pt>
                <c:pt idx="2">
                  <c:v>6007172628.2564144</c:v>
                </c:pt>
                <c:pt idx="3">
                  <c:v>7201842226.8806648</c:v>
                </c:pt>
                <c:pt idx="4">
                  <c:v>6780707633.8730984</c:v>
                </c:pt>
                <c:pt idx="5">
                  <c:v>8186283867.8635674</c:v>
                </c:pt>
                <c:pt idx="6">
                  <c:v>8774838721.9846039</c:v>
                </c:pt>
                <c:pt idx="7">
                  <c:v>9038083883.6441422</c:v>
                </c:pt>
                <c:pt idx="8">
                  <c:v>9309226400.1534672</c:v>
                </c:pt>
                <c:pt idx="9">
                  <c:v>9588503192.1580715</c:v>
                </c:pt>
                <c:pt idx="10">
                  <c:v>9876158287.9228134</c:v>
                </c:pt>
                <c:pt idx="11">
                  <c:v>10172443036.560497</c:v>
                </c:pt>
                <c:pt idx="12">
                  <c:v>10477616327.657312</c:v>
                </c:pt>
                <c:pt idx="13">
                  <c:v>10791944817.487032</c:v>
                </c:pt>
                <c:pt idx="14">
                  <c:v>11115703162.011642</c:v>
                </c:pt>
                <c:pt idx="15">
                  <c:v>11449174256.871992</c:v>
                </c:pt>
                <c:pt idx="16">
                  <c:v>11792649484.578152</c:v>
                </c:pt>
                <c:pt idx="17">
                  <c:v>12146428969.115496</c:v>
                </c:pt>
                <c:pt idx="18">
                  <c:v>12510821838.188961</c:v>
                </c:pt>
                <c:pt idx="19">
                  <c:v>12886146493.334629</c:v>
                </c:pt>
                <c:pt idx="20">
                  <c:v>13272730888.134668</c:v>
                </c:pt>
                <c:pt idx="21">
                  <c:v>13670912814.778708</c:v>
                </c:pt>
                <c:pt idx="22">
                  <c:v>14081040199.222069</c:v>
                </c:pt>
                <c:pt idx="23">
                  <c:v>14503471405.19873</c:v>
                </c:pt>
                <c:pt idx="24">
                  <c:v>14938575547.354692</c:v>
                </c:pt>
              </c:numCache>
            </c:numRef>
          </c:val>
          <c:smooth val="0"/>
          <c:extLst xmlns:c16r2="http://schemas.microsoft.com/office/drawing/2015/06/chart">
            <c:ext xmlns:c16="http://schemas.microsoft.com/office/drawing/2014/chart" uri="{C3380CC4-5D6E-409C-BE32-E72D297353CC}">
              <c16:uniqueId val="{00000003-07A1-492E-BCE3-3E3A79AA8D8A}"/>
            </c:ext>
          </c:extLst>
        </c:ser>
        <c:ser>
          <c:idx val="4"/>
          <c:order val="4"/>
          <c:tx>
            <c:strRef>
              <c:f>'Machine Calculations'!$A$49</c:f>
              <c:strCache>
                <c:ptCount val="1"/>
              </c:strCache>
            </c:strRef>
          </c:tx>
          <c:spPr>
            <a:ln w="44450">
              <a:solidFill>
                <a:schemeClr val="tx1"/>
              </a:solidFill>
              <a:prstDash val="lgDash"/>
            </a:ln>
          </c:spPr>
          <c:marker>
            <c:symbol val="none"/>
          </c:marker>
          <c:cat>
            <c:numRef>
              <c:f>'Machine Calculations'!$B$78:$Z$78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Calculations'!$B$49:$Z$49</c:f>
              <c:numCache>
                <c:formatCode>_("$"* #,##0.00_);_("$"* \(#,##0.00\);_("$"* "-"??_);_(@_)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4-07A1-492E-BCE3-3E3A79AA8D8A}"/>
            </c:ext>
          </c:extLst>
        </c:ser>
        <c:dLbls>
          <c:showLegendKey val="0"/>
          <c:showVal val="0"/>
          <c:showCatName val="0"/>
          <c:showSerName val="0"/>
          <c:showPercent val="0"/>
          <c:showBubbleSize val="0"/>
        </c:dLbls>
        <c:marker val="1"/>
        <c:smooth val="0"/>
        <c:axId val="339409152"/>
        <c:axId val="398995456"/>
      </c:lineChart>
      <c:catAx>
        <c:axId val="339409152"/>
        <c:scaling>
          <c:orientation val="minMax"/>
        </c:scaling>
        <c:delete val="0"/>
        <c:axPos val="b"/>
        <c:numFmt formatCode="General" sourceLinked="0"/>
        <c:majorTickMark val="out"/>
        <c:minorTickMark val="none"/>
        <c:tickLblPos val="nextTo"/>
        <c:spPr>
          <a:ln w="15875">
            <a:solidFill>
              <a:schemeClr val="tx1"/>
            </a:solidFill>
          </a:ln>
        </c:spPr>
        <c:txPr>
          <a:bodyPr/>
          <a:lstStyle/>
          <a:p>
            <a:pPr>
              <a:defRPr sz="1600"/>
            </a:pPr>
            <a:endParaRPr lang="en-US"/>
          </a:p>
        </c:txPr>
        <c:crossAx val="398995456"/>
        <c:crosses val="autoZero"/>
        <c:auto val="1"/>
        <c:lblAlgn val="ctr"/>
        <c:lblOffset val="100"/>
        <c:tickLblSkip val="2"/>
        <c:noMultiLvlLbl val="0"/>
      </c:catAx>
      <c:valAx>
        <c:axId val="398995456"/>
        <c:scaling>
          <c:orientation val="minMax"/>
        </c:scaling>
        <c:delete val="0"/>
        <c:axPos val="l"/>
        <c:numFmt formatCode="_(&quot;$&quot;* #,##0_);_(&quot;$&quot;* \(#,##0\);_(&quot;$&quot;* &quot;-&quot;_);_(@_)" sourceLinked="0"/>
        <c:majorTickMark val="out"/>
        <c:minorTickMark val="none"/>
        <c:tickLblPos val="nextTo"/>
        <c:txPr>
          <a:bodyPr/>
          <a:lstStyle/>
          <a:p>
            <a:pPr>
              <a:defRPr sz="1800"/>
            </a:pPr>
            <a:endParaRPr lang="en-US"/>
          </a:p>
        </c:txPr>
        <c:crossAx val="339409152"/>
        <c:crosses val="autoZero"/>
        <c:crossBetween val="between"/>
        <c:dispUnits>
          <c:builtInUnit val="millions"/>
          <c:dispUnitsLbl>
            <c:layout>
              <c:manualLayout>
                <c:xMode val="edge"/>
                <c:yMode val="edge"/>
                <c:x val="0"/>
                <c:y val="0.36558647741290307"/>
              </c:manualLayout>
            </c:layout>
            <c:tx>
              <c:rich>
                <a:bodyPr/>
                <a:lstStyle/>
                <a:p>
                  <a:pPr>
                    <a:defRPr sz="1800"/>
                  </a:pPr>
                  <a:r>
                    <a:rPr lang="en-AU"/>
                    <a:t>Million</a:t>
                  </a:r>
                  <a:r>
                    <a:rPr lang="en-AU" baseline="0"/>
                    <a:t> USD</a:t>
                  </a:r>
                  <a:endParaRPr lang="en-AU"/>
                </a:p>
              </c:rich>
            </c:tx>
          </c:dispUnitsLbl>
        </c:dispUnits>
      </c:valAx>
    </c:plotArea>
    <c:legend>
      <c:legendPos val="r"/>
      <c:layout>
        <c:manualLayout>
          <c:xMode val="edge"/>
          <c:yMode val="edge"/>
          <c:x val="0.10330654573626316"/>
          <c:y val="7.6006305718676684E-2"/>
          <c:w val="0.83597004920209772"/>
          <c:h val="0.10095030200185028"/>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AU" sz="800"/>
              <a:t>AoA AMS + De Minimis Limits vs OTDS</a:t>
            </a:r>
          </a:p>
        </c:rich>
      </c:tx>
      <c:overlay val="1"/>
    </c:title>
    <c:autoTitleDeleted val="0"/>
    <c:plotArea>
      <c:layout>
        <c:manualLayout>
          <c:layoutTarget val="inner"/>
          <c:xMode val="edge"/>
          <c:yMode val="edge"/>
          <c:x val="6.3907564051397636E-2"/>
          <c:y val="5.1400554097404488E-2"/>
          <c:w val="0.88040878160661784"/>
          <c:h val="0.73538820534684446"/>
        </c:manualLayout>
      </c:layout>
      <c:lineChart>
        <c:grouping val="standard"/>
        <c:varyColors val="0"/>
        <c:ser>
          <c:idx val="1"/>
          <c:order val="0"/>
          <c:tx>
            <c:strRef>
              <c:f>'Machine Calculations'!$A$9</c:f>
              <c:strCache>
                <c:ptCount val="1"/>
                <c:pt idx="0">
                  <c:v>Japan</c:v>
                </c:pt>
              </c:strCache>
            </c:strRef>
          </c:tx>
          <c:spPr>
            <a:ln>
              <a:solidFill>
                <a:srgbClr val="0070C0"/>
              </a:solidFill>
              <a:prstDash val="sysDot"/>
            </a:ln>
          </c:spPr>
          <c:marker>
            <c:symbol val="none"/>
          </c:marker>
          <c:cat>
            <c:numRef>
              <c:f>'Machine Calculations'!$I$14:$Z$14</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'Machine Calculations'!$I$9:$Z$9</c:f>
              <c:numCache>
                <c:formatCode>"$"#,##0</c:formatCode>
                <c:ptCount val="18"/>
                <c:pt idx="0">
                  <c:v>14584545984.156548</c:v>
                </c:pt>
                <c:pt idx="1">
                  <c:v>14584545984.156548</c:v>
                </c:pt>
                <c:pt idx="2">
                  <c:v>14584545984.156548</c:v>
                </c:pt>
                <c:pt idx="3">
                  <c:v>14584545984.156548</c:v>
                </c:pt>
                <c:pt idx="4">
                  <c:v>14584545984.156548</c:v>
                </c:pt>
                <c:pt idx="5">
                  <c:v>14584545984.156548</c:v>
                </c:pt>
                <c:pt idx="6">
                  <c:v>14584545984.156548</c:v>
                </c:pt>
                <c:pt idx="7">
                  <c:v>14584545984.156548</c:v>
                </c:pt>
                <c:pt idx="8">
                  <c:v>14584545984.156548</c:v>
                </c:pt>
                <c:pt idx="9">
                  <c:v>14584545984.156548</c:v>
                </c:pt>
                <c:pt idx="10">
                  <c:v>14584545984.156548</c:v>
                </c:pt>
                <c:pt idx="11">
                  <c:v>14584545984.156548</c:v>
                </c:pt>
                <c:pt idx="12">
                  <c:v>14584545984.156548</c:v>
                </c:pt>
                <c:pt idx="13">
                  <c:v>14584545984.156548</c:v>
                </c:pt>
                <c:pt idx="14">
                  <c:v>14584545984.156548</c:v>
                </c:pt>
                <c:pt idx="15">
                  <c:v>14584545984.156548</c:v>
                </c:pt>
                <c:pt idx="16">
                  <c:v>14584545984.156548</c:v>
                </c:pt>
                <c:pt idx="17">
                  <c:v>14584545984.156548</c:v>
                </c:pt>
              </c:numCache>
            </c:numRef>
          </c:val>
          <c:smooth val="0"/>
          <c:extLst xmlns:c16r2="http://schemas.microsoft.com/office/drawing/2015/06/chart">
            <c:ext xmlns:c16="http://schemas.microsoft.com/office/drawing/2014/chart" uri="{C3380CC4-5D6E-409C-BE32-E72D297353CC}">
              <c16:uniqueId val="{00000000-999A-4247-BCD9-6FBC02A54238}"/>
            </c:ext>
          </c:extLst>
        </c:ser>
        <c:ser>
          <c:idx val="2"/>
          <c:order val="1"/>
          <c:tx>
            <c:strRef>
              <c:f>'Machine Calculations'!$A$10</c:f>
              <c:strCache>
                <c:ptCount val="1"/>
              </c:strCache>
            </c:strRef>
          </c:tx>
          <c:spPr>
            <a:ln>
              <a:solidFill>
                <a:schemeClr val="tx1"/>
              </a:solidFill>
              <a:prstDash val="sysDot"/>
            </a:ln>
          </c:spPr>
          <c:marker>
            <c:symbol val="none"/>
          </c:marker>
          <c:cat>
            <c:numRef>
              <c:f>'Machine Calculations'!$I$14:$Z$14</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'Machine Calculations'!$I$10:$Z$10</c:f>
              <c:numCache>
                <c:formatCode>"$"#,##0</c:formatCode>
                <c:ptCount val="1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numCache>
            </c:numRef>
          </c:val>
          <c:smooth val="0"/>
          <c:extLst xmlns:c16r2="http://schemas.microsoft.com/office/drawing/2015/06/chart">
            <c:ext xmlns:c16="http://schemas.microsoft.com/office/drawing/2014/chart" uri="{C3380CC4-5D6E-409C-BE32-E72D297353CC}">
              <c16:uniqueId val="{00000001-999A-4247-BCD9-6FBC02A54238}"/>
            </c:ext>
          </c:extLst>
        </c:ser>
        <c:ser>
          <c:idx val="3"/>
          <c:order val="2"/>
          <c:tx>
            <c:strRef>
              <c:f>'Machine Calculations'!$A$11</c:f>
              <c:strCache>
                <c:ptCount val="1"/>
              </c:strCache>
            </c:strRef>
          </c:tx>
          <c:spPr>
            <a:ln>
              <a:solidFill>
                <a:srgbClr val="00B050"/>
              </a:solidFill>
              <a:prstDash val="sysDot"/>
            </a:ln>
          </c:spPr>
          <c:marker>
            <c:symbol val="none"/>
          </c:marker>
          <c:cat>
            <c:numRef>
              <c:f>'Machine Calculations'!$I$14:$Z$14</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'Machine Calculations'!$I$11:$Z$11</c:f>
              <c:numCache>
                <c:formatCode>"$"#,##0</c:formatCode>
                <c:ptCount val="1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numCache>
            </c:numRef>
          </c:val>
          <c:smooth val="0"/>
          <c:extLst xmlns:c16r2="http://schemas.microsoft.com/office/drawing/2015/06/chart">
            <c:ext xmlns:c16="http://schemas.microsoft.com/office/drawing/2014/chart" uri="{C3380CC4-5D6E-409C-BE32-E72D297353CC}">
              <c16:uniqueId val="{00000002-999A-4247-BCD9-6FBC02A54238}"/>
            </c:ext>
          </c:extLst>
        </c:ser>
        <c:ser>
          <c:idx val="4"/>
          <c:order val="3"/>
          <c:tx>
            <c:strRef>
              <c:f>'Machine Calculations'!$A$12</c:f>
              <c:strCache>
                <c:ptCount val="1"/>
              </c:strCache>
            </c:strRef>
          </c:tx>
          <c:spPr>
            <a:ln>
              <a:solidFill>
                <a:srgbClr val="FF0000"/>
              </a:solidFill>
              <a:prstDash val="sysDot"/>
            </a:ln>
          </c:spPr>
          <c:marker>
            <c:symbol val="none"/>
          </c:marker>
          <c:cat>
            <c:numRef>
              <c:f>'Machine Calculations'!$I$14:$Z$14</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'Machine Calculations'!$I$12:$Z$12</c:f>
              <c:numCache>
                <c:formatCode>"$"#,##0</c:formatCode>
                <c:ptCount val="1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numCache>
            </c:numRef>
          </c:val>
          <c:smooth val="0"/>
          <c:extLst xmlns:c16r2="http://schemas.microsoft.com/office/drawing/2015/06/chart">
            <c:ext xmlns:c16="http://schemas.microsoft.com/office/drawing/2014/chart" uri="{C3380CC4-5D6E-409C-BE32-E72D297353CC}">
              <c16:uniqueId val="{00000003-999A-4247-BCD9-6FBC02A54238}"/>
            </c:ext>
          </c:extLst>
        </c:ser>
        <c:ser>
          <c:idx val="0"/>
          <c:order val="4"/>
          <c:tx>
            <c:strRef>
              <c:f>'Machine Calculations'!$A$15</c:f>
              <c:strCache>
                <c:ptCount val="1"/>
                <c:pt idx="0">
                  <c:v>Japan</c:v>
                </c:pt>
              </c:strCache>
            </c:strRef>
          </c:tx>
          <c:spPr>
            <a:ln>
              <a:solidFill>
                <a:srgbClr val="0070C0"/>
              </a:solidFill>
            </a:ln>
          </c:spPr>
          <c:marker>
            <c:symbol val="none"/>
          </c:marker>
          <c:cat>
            <c:numRef>
              <c:f>'Machine Calculations'!$I$14:$Z$14</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'Machine Calculations'!$I$15:$Z$15</c:f>
              <c:numCache>
                <c:formatCode>_("$"* #,##0.00_);_("$"* \(#,##0.00\);_("$"* "-"??_);_(@_)</c:formatCode>
                <c:ptCount val="18"/>
                <c:pt idx="0">
                  <c:v>47412534111.95343</c:v>
                </c:pt>
                <c:pt idx="1">
                  <c:v>47625976401.95343</c:v>
                </c:pt>
                <c:pt idx="2">
                  <c:v>47845821960.653427</c:v>
                </c:pt>
                <c:pt idx="3">
                  <c:v>48072262886.114433</c:v>
                </c:pt>
                <c:pt idx="4">
                  <c:v>48305497039.339264</c:v>
                </c:pt>
                <c:pt idx="5">
                  <c:v>48545728217.160835</c:v>
                </c:pt>
                <c:pt idx="6">
                  <c:v>48793166330.317062</c:v>
                </c:pt>
                <c:pt idx="7">
                  <c:v>49048027586.867966</c:v>
                </c:pt>
                <c:pt idx="8">
                  <c:v>49310534681.115402</c:v>
                </c:pt>
                <c:pt idx="9">
                  <c:v>49580916988.190262</c:v>
                </c:pt>
                <c:pt idx="10">
                  <c:v>49859410764.477371</c:v>
                </c:pt>
                <c:pt idx="11">
                  <c:v>50146259354.053085</c:v>
                </c:pt>
                <c:pt idx="12">
                  <c:v>50441713401.316078</c:v>
                </c:pt>
                <c:pt idx="13">
                  <c:v>50746031069.996956</c:v>
                </c:pt>
                <c:pt idx="14">
                  <c:v>51059478268.738266</c:v>
                </c:pt>
                <c:pt idx="15">
                  <c:v>51382328883.441803</c:v>
                </c:pt>
                <c:pt idx="16">
                  <c:v>51714865016.586456</c:v>
                </c:pt>
                <c:pt idx="17">
                  <c:v>52057377233.725449</c:v>
                </c:pt>
              </c:numCache>
            </c:numRef>
          </c:val>
          <c:smooth val="0"/>
          <c:extLst xmlns:c16r2="http://schemas.microsoft.com/office/drawing/2015/06/chart">
            <c:ext xmlns:c16="http://schemas.microsoft.com/office/drawing/2014/chart" uri="{C3380CC4-5D6E-409C-BE32-E72D297353CC}">
              <c16:uniqueId val="{00000004-999A-4247-BCD9-6FBC02A54238}"/>
            </c:ext>
          </c:extLst>
        </c:ser>
        <c:ser>
          <c:idx val="5"/>
          <c:order val="5"/>
          <c:tx>
            <c:strRef>
              <c:f>'Machine Calculations'!$A$16</c:f>
              <c:strCache>
                <c:ptCount val="1"/>
              </c:strCache>
            </c:strRef>
          </c:tx>
          <c:spPr>
            <a:ln>
              <a:solidFill>
                <a:schemeClr val="tx1"/>
              </a:solidFill>
            </a:ln>
          </c:spPr>
          <c:marker>
            <c:symbol val="none"/>
          </c:marker>
          <c:cat>
            <c:numRef>
              <c:f>'Machine Calculations'!$I$14:$Z$14</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'Machine Calculations'!$I$16:$Z$16</c:f>
              <c:numCache>
                <c:formatCode>_("$"* #,##0.00_);_("$"* \(#,##0.00\);_("$"*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extLst xmlns:c16r2="http://schemas.microsoft.com/office/drawing/2015/06/chart">
            <c:ext xmlns:c16="http://schemas.microsoft.com/office/drawing/2014/chart" uri="{C3380CC4-5D6E-409C-BE32-E72D297353CC}">
              <c16:uniqueId val="{00000005-999A-4247-BCD9-6FBC02A54238}"/>
            </c:ext>
          </c:extLst>
        </c:ser>
        <c:ser>
          <c:idx val="6"/>
          <c:order val="6"/>
          <c:tx>
            <c:strRef>
              <c:f>'Machine Calculations'!$A$17</c:f>
              <c:strCache>
                <c:ptCount val="1"/>
              </c:strCache>
            </c:strRef>
          </c:tx>
          <c:spPr>
            <a:ln>
              <a:solidFill>
                <a:srgbClr val="00B050"/>
              </a:solidFill>
            </a:ln>
          </c:spPr>
          <c:marker>
            <c:symbol val="none"/>
          </c:marker>
          <c:cat>
            <c:numRef>
              <c:f>'Machine Calculations'!$I$14:$Z$14</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'Machine Calculations'!$I$17:$Z$17</c:f>
              <c:numCache>
                <c:formatCode>_("$"* #,##0.00_);_("$"* \(#,##0.00\);_("$"*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extLst xmlns:c16r2="http://schemas.microsoft.com/office/drawing/2015/06/chart">
            <c:ext xmlns:c16="http://schemas.microsoft.com/office/drawing/2014/chart" uri="{C3380CC4-5D6E-409C-BE32-E72D297353CC}">
              <c16:uniqueId val="{00000006-999A-4247-BCD9-6FBC02A54238}"/>
            </c:ext>
          </c:extLst>
        </c:ser>
        <c:ser>
          <c:idx val="7"/>
          <c:order val="7"/>
          <c:tx>
            <c:strRef>
              <c:f>'Machine Calculations'!$A$18</c:f>
              <c:strCache>
                <c:ptCount val="1"/>
              </c:strCache>
            </c:strRef>
          </c:tx>
          <c:spPr>
            <a:ln>
              <a:solidFill>
                <a:srgbClr val="FF0000"/>
              </a:solidFill>
            </a:ln>
          </c:spPr>
          <c:marker>
            <c:symbol val="none"/>
          </c:marker>
          <c:cat>
            <c:numRef>
              <c:f>'Machine Calculations'!$I$14:$Z$14</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'Machine Calculations'!$I$18:$Z$18</c:f>
              <c:numCache>
                <c:formatCode>_("$"* #,##0.00_);_("$"* \(#,##0.00\);_("$"* "-"??_);_(@_)</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extLst xmlns:c16r2="http://schemas.microsoft.com/office/drawing/2015/06/chart">
            <c:ext xmlns:c16="http://schemas.microsoft.com/office/drawing/2014/chart" uri="{C3380CC4-5D6E-409C-BE32-E72D297353CC}">
              <c16:uniqueId val="{00000007-999A-4247-BCD9-6FBC02A54238}"/>
            </c:ext>
          </c:extLst>
        </c:ser>
        <c:dLbls>
          <c:showLegendKey val="0"/>
          <c:showVal val="0"/>
          <c:showCatName val="0"/>
          <c:showSerName val="0"/>
          <c:showPercent val="0"/>
          <c:showBubbleSize val="0"/>
        </c:dLbls>
        <c:marker val="1"/>
        <c:smooth val="0"/>
        <c:axId val="406872832"/>
        <c:axId val="406874368"/>
      </c:lineChart>
      <c:catAx>
        <c:axId val="406872832"/>
        <c:scaling>
          <c:orientation val="minMax"/>
        </c:scaling>
        <c:delete val="0"/>
        <c:axPos val="b"/>
        <c:numFmt formatCode="General" sourceLinked="1"/>
        <c:majorTickMark val="out"/>
        <c:minorTickMark val="none"/>
        <c:tickLblPos val="nextTo"/>
        <c:crossAx val="406874368"/>
        <c:crosses val="autoZero"/>
        <c:auto val="1"/>
        <c:lblAlgn val="ctr"/>
        <c:lblOffset val="100"/>
        <c:tickLblSkip val="2"/>
        <c:noMultiLvlLbl val="0"/>
      </c:catAx>
      <c:valAx>
        <c:axId val="406874368"/>
        <c:scaling>
          <c:orientation val="minMax"/>
        </c:scaling>
        <c:delete val="0"/>
        <c:axPos val="l"/>
        <c:numFmt formatCode="&quot;$&quot;#,##0" sourceLinked="1"/>
        <c:majorTickMark val="out"/>
        <c:minorTickMark val="none"/>
        <c:tickLblPos val="nextTo"/>
        <c:crossAx val="406872832"/>
        <c:crosses val="autoZero"/>
        <c:crossBetween val="midCat"/>
        <c:dispUnits>
          <c:builtInUnit val="billions"/>
          <c:dispUnitsLbl>
            <c:layout>
              <c:manualLayout>
                <c:xMode val="edge"/>
                <c:yMode val="edge"/>
                <c:x val="7.1590692738130995E-3"/>
                <c:y val="0.35325949186612465"/>
              </c:manualLayout>
            </c:layout>
            <c:txPr>
              <a:bodyPr/>
              <a:lstStyle/>
              <a:p>
                <a:pPr>
                  <a:defRPr sz="800"/>
                </a:pPr>
                <a:endParaRPr lang="en-US"/>
              </a:p>
            </c:txPr>
          </c:dispUnitsLbl>
        </c:dispUnits>
      </c:valAx>
    </c:plotArea>
    <c:legend>
      <c:legendPos val="r"/>
      <c:layout>
        <c:manualLayout>
          <c:xMode val="edge"/>
          <c:yMode val="edge"/>
          <c:x val="6.1908211270063421E-2"/>
          <c:y val="0.9048576135289319"/>
          <c:w val="0.93535985071065575"/>
          <c:h val="8.3697603891537617E-2"/>
        </c:manualLayout>
      </c:layout>
      <c:overlay val="0"/>
    </c:legend>
    <c:plotVisOnly val="1"/>
    <c:dispBlanksAs val="gap"/>
    <c:showDLblsOverMax val="0"/>
  </c:chart>
  <c:txPr>
    <a:bodyPr/>
    <a:lstStyle/>
    <a:p>
      <a:pPr>
        <a:defRPr sz="7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AU" sz="800"/>
              <a:t>Trade Distorting Support Spending vs OTDS</a:t>
            </a:r>
          </a:p>
        </c:rich>
      </c:tx>
      <c:overlay val="1"/>
    </c:title>
    <c:autoTitleDeleted val="0"/>
    <c:plotArea>
      <c:layout>
        <c:manualLayout>
          <c:layoutTarget val="inner"/>
          <c:xMode val="edge"/>
          <c:yMode val="edge"/>
          <c:x val="6.8538400045993791E-2"/>
          <c:y val="5.7833957640016892E-2"/>
          <c:w val="0.87774004554149521"/>
          <c:h val="0.69266538979924808"/>
        </c:manualLayout>
      </c:layout>
      <c:lineChart>
        <c:grouping val="standard"/>
        <c:varyColors val="0"/>
        <c:ser>
          <c:idx val="1"/>
          <c:order val="0"/>
          <c:tx>
            <c:strRef>
              <c:f>'Machine Calculations'!$A$27</c:f>
              <c:strCache>
                <c:ptCount val="1"/>
                <c:pt idx="0">
                  <c:v>Japan</c:v>
                </c:pt>
              </c:strCache>
            </c:strRef>
          </c:tx>
          <c:spPr>
            <a:ln>
              <a:solidFill>
                <a:schemeClr val="accent1"/>
              </a:solidFill>
              <a:prstDash val="sysDot"/>
            </a:ln>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Calculations'!$B$27:$Z$27</c:f>
              <c:numCache>
                <c:formatCode>"$"#,##0</c:formatCode>
                <c:ptCount val="25"/>
                <c:pt idx="0">
                  <c:v>14584545984.156548</c:v>
                </c:pt>
                <c:pt idx="1">
                  <c:v>14584545984.156548</c:v>
                </c:pt>
                <c:pt idx="2">
                  <c:v>14584545984.156548</c:v>
                </c:pt>
                <c:pt idx="3">
                  <c:v>14584545984.156548</c:v>
                </c:pt>
                <c:pt idx="4">
                  <c:v>14584545984.156548</c:v>
                </c:pt>
                <c:pt idx="5">
                  <c:v>14584545984.156548</c:v>
                </c:pt>
                <c:pt idx="6">
                  <c:v>14584545984.156548</c:v>
                </c:pt>
                <c:pt idx="7">
                  <c:v>14584545984.156548</c:v>
                </c:pt>
                <c:pt idx="8">
                  <c:v>14584545984.156548</c:v>
                </c:pt>
                <c:pt idx="9">
                  <c:v>14584545984.156548</c:v>
                </c:pt>
                <c:pt idx="10">
                  <c:v>14584545984.156548</c:v>
                </c:pt>
                <c:pt idx="11">
                  <c:v>14584545984.156548</c:v>
                </c:pt>
                <c:pt idx="12">
                  <c:v>14584545984.156548</c:v>
                </c:pt>
                <c:pt idx="13">
                  <c:v>14584545984.156548</c:v>
                </c:pt>
                <c:pt idx="14">
                  <c:v>14584545984.156548</c:v>
                </c:pt>
                <c:pt idx="15">
                  <c:v>14584545984.156548</c:v>
                </c:pt>
                <c:pt idx="16">
                  <c:v>14584545984.156548</c:v>
                </c:pt>
                <c:pt idx="17">
                  <c:v>14584545984.156548</c:v>
                </c:pt>
                <c:pt idx="18">
                  <c:v>14584545984.156548</c:v>
                </c:pt>
                <c:pt idx="19">
                  <c:v>14584545984.156548</c:v>
                </c:pt>
                <c:pt idx="20">
                  <c:v>14584545984.156548</c:v>
                </c:pt>
                <c:pt idx="21">
                  <c:v>14584545984.156548</c:v>
                </c:pt>
                <c:pt idx="22">
                  <c:v>14584545984.156548</c:v>
                </c:pt>
                <c:pt idx="23">
                  <c:v>14584545984.156548</c:v>
                </c:pt>
                <c:pt idx="24">
                  <c:v>14584545984.156548</c:v>
                </c:pt>
              </c:numCache>
            </c:numRef>
          </c:val>
          <c:smooth val="0"/>
          <c:extLst xmlns:c16r2="http://schemas.microsoft.com/office/drawing/2015/06/chart">
            <c:ext xmlns:c16="http://schemas.microsoft.com/office/drawing/2014/chart" uri="{C3380CC4-5D6E-409C-BE32-E72D297353CC}">
              <c16:uniqueId val="{00000000-5BA7-44FC-BA71-88CA296698B2}"/>
            </c:ext>
          </c:extLst>
        </c:ser>
        <c:ser>
          <c:idx val="2"/>
          <c:order val="1"/>
          <c:tx>
            <c:strRef>
              <c:f>'Machine Calculations'!$A$28</c:f>
              <c:strCache>
                <c:ptCount val="1"/>
              </c:strCache>
            </c:strRef>
          </c:tx>
          <c:spPr>
            <a:ln>
              <a:solidFill>
                <a:sysClr val="windowText" lastClr="000000"/>
              </a:solidFill>
              <a:prstDash val="sysDot"/>
            </a:ln>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Calculations'!$B$28:$Z$28</c:f>
              <c:numCache>
                <c:formatCode>"$"#,##0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1-5BA7-44FC-BA71-88CA296698B2}"/>
            </c:ext>
          </c:extLst>
        </c:ser>
        <c:ser>
          <c:idx val="3"/>
          <c:order val="2"/>
          <c:tx>
            <c:strRef>
              <c:f>'Machine Calculations'!$A$29</c:f>
              <c:strCache>
                <c:ptCount val="1"/>
              </c:strCache>
            </c:strRef>
          </c:tx>
          <c:spPr>
            <a:ln>
              <a:solidFill>
                <a:srgbClr val="00B050"/>
              </a:solidFill>
              <a:prstDash val="sysDot"/>
            </a:ln>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Calculations'!$B$29:$Z$29</c:f>
              <c:numCache>
                <c:formatCode>"$"#,##0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2-5BA7-44FC-BA71-88CA296698B2}"/>
            </c:ext>
          </c:extLst>
        </c:ser>
        <c:ser>
          <c:idx val="4"/>
          <c:order val="3"/>
          <c:tx>
            <c:strRef>
              <c:f>'Machine Calculations'!$A$30</c:f>
              <c:strCache>
                <c:ptCount val="1"/>
              </c:strCache>
            </c:strRef>
          </c:tx>
          <c:spPr>
            <a:ln>
              <a:solidFill>
                <a:srgbClr val="FF0000"/>
              </a:solidFill>
              <a:prstDash val="sysDot"/>
            </a:ln>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Calculations'!$B$30:$Z$30</c:f>
              <c:numCache>
                <c:formatCode>"$"#,##0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3-5BA7-44FC-BA71-88CA296698B2}"/>
            </c:ext>
          </c:extLst>
        </c:ser>
        <c:ser>
          <c:idx val="0"/>
          <c:order val="4"/>
          <c:tx>
            <c:strRef>
              <c:f>'Machine Calculations'!$A$21</c:f>
              <c:strCache>
                <c:ptCount val="1"/>
                <c:pt idx="0">
                  <c:v>Japan</c:v>
                </c:pt>
              </c:strCache>
            </c:strRef>
          </c:tx>
          <c:spPr>
            <a:ln>
              <a:solidFill>
                <a:srgbClr val="0070C0"/>
              </a:solidFill>
            </a:ln>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Calculations'!$B$21:$Z$21</c:f>
              <c:numCache>
                <c:formatCode>_("$"* #,##0_);_("$"* \(#,##0\);_("$"* "-"_);_(@_)</c:formatCode>
                <c:ptCount val="25"/>
                <c:pt idx="0">
                  <c:v>5083599507.8195124</c:v>
                </c:pt>
                <c:pt idx="1">
                  <c:v>4186706648.5890331</c:v>
                </c:pt>
                <c:pt idx="2">
                  <c:v>6007172628.2564144</c:v>
                </c:pt>
                <c:pt idx="3">
                  <c:v>7201842226.8806648</c:v>
                </c:pt>
                <c:pt idx="4">
                  <c:v>6780707633.8730984</c:v>
                </c:pt>
                <c:pt idx="5">
                  <c:v>8186283867.8635674</c:v>
                </c:pt>
                <c:pt idx="6">
                  <c:v>8774838721.9846039</c:v>
                </c:pt>
                <c:pt idx="7">
                  <c:v>9038083883.6441422</c:v>
                </c:pt>
                <c:pt idx="8">
                  <c:v>9309226400.1534672</c:v>
                </c:pt>
                <c:pt idx="9">
                  <c:v>9588503192.1580715</c:v>
                </c:pt>
                <c:pt idx="10">
                  <c:v>9876158287.9228134</c:v>
                </c:pt>
                <c:pt idx="11">
                  <c:v>10172443036.560497</c:v>
                </c:pt>
                <c:pt idx="12">
                  <c:v>10477616327.657312</c:v>
                </c:pt>
                <c:pt idx="13">
                  <c:v>10791944817.487032</c:v>
                </c:pt>
                <c:pt idx="14">
                  <c:v>11115703162.011642</c:v>
                </c:pt>
                <c:pt idx="15">
                  <c:v>11449174256.871992</c:v>
                </c:pt>
                <c:pt idx="16">
                  <c:v>11792649484.578152</c:v>
                </c:pt>
                <c:pt idx="17">
                  <c:v>12146428969.115496</c:v>
                </c:pt>
                <c:pt idx="18">
                  <c:v>12510821838.188961</c:v>
                </c:pt>
                <c:pt idx="19">
                  <c:v>12886146493.334629</c:v>
                </c:pt>
                <c:pt idx="20">
                  <c:v>13272730888.134668</c:v>
                </c:pt>
                <c:pt idx="21">
                  <c:v>13670912814.778708</c:v>
                </c:pt>
                <c:pt idx="22">
                  <c:v>14081040199.222069</c:v>
                </c:pt>
                <c:pt idx="23">
                  <c:v>14503471405.19873</c:v>
                </c:pt>
                <c:pt idx="24">
                  <c:v>14938575547.354692</c:v>
                </c:pt>
              </c:numCache>
            </c:numRef>
          </c:val>
          <c:smooth val="0"/>
          <c:extLst xmlns:c16r2="http://schemas.microsoft.com/office/drawing/2015/06/chart">
            <c:ext xmlns:c16="http://schemas.microsoft.com/office/drawing/2014/chart" uri="{C3380CC4-5D6E-409C-BE32-E72D297353CC}">
              <c16:uniqueId val="{00000004-5BA7-44FC-BA71-88CA296698B2}"/>
            </c:ext>
          </c:extLst>
        </c:ser>
        <c:ser>
          <c:idx val="5"/>
          <c:order val="5"/>
          <c:tx>
            <c:strRef>
              <c:f>'Machine Calculations'!$A$22</c:f>
              <c:strCache>
                <c:ptCount val="1"/>
              </c:strCache>
            </c:strRef>
          </c:tx>
          <c:spPr>
            <a:ln>
              <a:solidFill>
                <a:sysClr val="windowText" lastClr="000000"/>
              </a:solidFill>
            </a:ln>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Calculations'!$B$22:$Z$22</c:f>
              <c:numCache>
                <c:formatCode>_("$"* #,##0_);_("$"* \(#,##0\);_("$"* "-"_);_(@_)</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5-5BA7-44FC-BA71-88CA296698B2}"/>
            </c:ext>
          </c:extLst>
        </c:ser>
        <c:ser>
          <c:idx val="6"/>
          <c:order val="6"/>
          <c:tx>
            <c:strRef>
              <c:f>'Machine Calculations'!$A$23</c:f>
              <c:strCache>
                <c:ptCount val="1"/>
              </c:strCache>
            </c:strRef>
          </c:tx>
          <c:spPr>
            <a:ln>
              <a:solidFill>
                <a:srgbClr val="00B050"/>
              </a:solidFill>
            </a:ln>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Calculations'!$B$23:$Z$23</c:f>
              <c:numCache>
                <c:formatCode>_("$"* #,##0_);_("$"* \(#,##0\);_("$"* "-"_);_(@_)</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6-5BA7-44FC-BA71-88CA296698B2}"/>
            </c:ext>
          </c:extLst>
        </c:ser>
        <c:ser>
          <c:idx val="7"/>
          <c:order val="7"/>
          <c:tx>
            <c:strRef>
              <c:f>'Machine Calculations'!$A$24</c:f>
              <c:strCache>
                <c:ptCount val="1"/>
              </c:strCache>
            </c:strRef>
          </c:tx>
          <c:spPr>
            <a:ln>
              <a:solidFill>
                <a:srgbClr val="FF0000"/>
              </a:solidFill>
            </a:ln>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Calculations'!$B$24:$Z$24</c:f>
              <c:numCache>
                <c:formatCode>_("$"* #,##0_);_("$"* \(#,##0\);_("$"* "-"_);_(@_)</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7-5BA7-44FC-BA71-88CA296698B2}"/>
            </c:ext>
          </c:extLst>
        </c:ser>
        <c:dLbls>
          <c:showLegendKey val="0"/>
          <c:showVal val="0"/>
          <c:showCatName val="0"/>
          <c:showSerName val="0"/>
          <c:showPercent val="0"/>
          <c:showBubbleSize val="0"/>
        </c:dLbls>
        <c:marker val="1"/>
        <c:smooth val="0"/>
        <c:axId val="406547840"/>
        <c:axId val="406553728"/>
      </c:lineChart>
      <c:catAx>
        <c:axId val="406547840"/>
        <c:scaling>
          <c:orientation val="minMax"/>
        </c:scaling>
        <c:delete val="0"/>
        <c:axPos val="b"/>
        <c:numFmt formatCode="General" sourceLinked="1"/>
        <c:majorTickMark val="out"/>
        <c:minorTickMark val="none"/>
        <c:tickLblPos val="nextTo"/>
        <c:txPr>
          <a:bodyPr/>
          <a:lstStyle/>
          <a:p>
            <a:pPr>
              <a:defRPr sz="700" b="1"/>
            </a:pPr>
            <a:endParaRPr lang="en-US"/>
          </a:p>
        </c:txPr>
        <c:crossAx val="406553728"/>
        <c:crosses val="autoZero"/>
        <c:auto val="1"/>
        <c:lblAlgn val="ctr"/>
        <c:lblOffset val="100"/>
        <c:tickLblSkip val="2"/>
        <c:noMultiLvlLbl val="0"/>
      </c:catAx>
      <c:valAx>
        <c:axId val="406553728"/>
        <c:scaling>
          <c:orientation val="minMax"/>
        </c:scaling>
        <c:delete val="0"/>
        <c:axPos val="l"/>
        <c:numFmt formatCode="&quot;$&quot;#,##0" sourceLinked="1"/>
        <c:majorTickMark val="out"/>
        <c:minorTickMark val="none"/>
        <c:tickLblPos val="nextTo"/>
        <c:txPr>
          <a:bodyPr/>
          <a:lstStyle/>
          <a:p>
            <a:pPr>
              <a:defRPr sz="700" b="1"/>
            </a:pPr>
            <a:endParaRPr lang="en-US"/>
          </a:p>
        </c:txPr>
        <c:crossAx val="406547840"/>
        <c:crosses val="autoZero"/>
        <c:crossBetween val="midCat"/>
        <c:dispUnits>
          <c:builtInUnit val="billions"/>
          <c:dispUnitsLbl>
            <c:layout>
              <c:manualLayout>
                <c:xMode val="edge"/>
                <c:yMode val="edge"/>
                <c:x val="1.1023339317773788E-2"/>
                <c:y val="0.31699920146018706"/>
              </c:manualLayout>
            </c:layout>
            <c:txPr>
              <a:bodyPr/>
              <a:lstStyle/>
              <a:p>
                <a:pPr>
                  <a:defRPr sz="800"/>
                </a:pPr>
                <a:endParaRPr lang="en-US"/>
              </a:p>
            </c:txPr>
          </c:dispUnitsLbl>
        </c:dispUnits>
      </c:valAx>
    </c:plotArea>
    <c:legend>
      <c:legendPos val="r"/>
      <c:layout>
        <c:manualLayout>
          <c:xMode val="edge"/>
          <c:yMode val="edge"/>
          <c:x val="6.4082020997375366E-2"/>
          <c:y val="0.8849402233421384"/>
          <c:w val="0.92480686789151356"/>
          <c:h val="0.11471910758380015"/>
        </c:manualLayout>
      </c:layout>
      <c:overlay val="0"/>
      <c:txPr>
        <a:bodyPr/>
        <a:lstStyle/>
        <a:p>
          <a:pPr>
            <a:defRPr sz="700"/>
          </a:pPr>
          <a:endParaRPr lang="en-US"/>
        </a:p>
      </c:txPr>
    </c:legend>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Australia</a:t>
            </a:r>
          </a:p>
        </c:rich>
      </c:tx>
      <c:layout/>
      <c:overlay val="1"/>
    </c:title>
    <c:autoTitleDeleted val="0"/>
    <c:plotArea>
      <c:layout>
        <c:manualLayout>
          <c:layoutTarget val="inner"/>
          <c:xMode val="edge"/>
          <c:yMode val="edge"/>
          <c:x val="0.13619706911636045"/>
          <c:y val="5.1400554097404488E-2"/>
          <c:w val="0.83299650043744533"/>
          <c:h val="0.63319845435987165"/>
        </c:manualLayout>
      </c:layout>
      <c:areaChart>
        <c:grouping val="standard"/>
        <c:varyColors val="0"/>
        <c:ser>
          <c:idx val="4"/>
          <c:order val="0"/>
          <c:tx>
            <c:v>DELETE</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Calculations'!$C$93:$AA$93</c:f>
              <c:numCache>
                <c:formatCode>"$"#,##0</c:formatCode>
                <c:ptCount val="25"/>
                <c:pt idx="0">
                  <c:v>2639596400.1312532</c:v>
                </c:pt>
                <c:pt idx="1">
                  <c:v>3247875400.1312532</c:v>
                </c:pt>
                <c:pt idx="2">
                  <c:v>3913574400.1312532</c:v>
                </c:pt>
                <c:pt idx="3">
                  <c:v>3419759400.1312532</c:v>
                </c:pt>
                <c:pt idx="4">
                  <c:v>3616436400.1312532</c:v>
                </c:pt>
                <c:pt idx="5">
                  <c:v>4585201400.1312532</c:v>
                </c:pt>
                <c:pt idx="6">
                  <c:v>4710807400.1312532</c:v>
                </c:pt>
                <c:pt idx="7">
                  <c:v>4550855400.1312532</c:v>
                </c:pt>
                <c:pt idx="8">
                  <c:v>4673937690.1312532</c:v>
                </c:pt>
                <c:pt idx="9">
                  <c:v>4800712448.8312531</c:v>
                </c:pt>
                <c:pt idx="10">
                  <c:v>4931290450.2922535</c:v>
                </c:pt>
                <c:pt idx="11">
                  <c:v>5065785791.7970839</c:v>
                </c:pt>
                <c:pt idx="12">
                  <c:v>5204315993.5470581</c:v>
                </c:pt>
                <c:pt idx="13">
                  <c:v>5347002101.3495331</c:v>
                </c:pt>
                <c:pt idx="14">
                  <c:v>5493968792.3860817</c:v>
                </c:pt>
                <c:pt idx="15">
                  <c:v>5645344484.1537256</c:v>
                </c:pt>
                <c:pt idx="16">
                  <c:v>5801261446.6744003</c:v>
                </c:pt>
                <c:pt idx="17">
                  <c:v>5961855918.0706949</c:v>
                </c:pt>
                <c:pt idx="18">
                  <c:v>6127268223.6088781</c:v>
                </c:pt>
                <c:pt idx="19">
                  <c:v>6297642898.3132067</c:v>
                </c:pt>
                <c:pt idx="20">
                  <c:v>6473128813.258666</c:v>
                </c:pt>
                <c:pt idx="21">
                  <c:v>6653879305.6524887</c:v>
                </c:pt>
                <c:pt idx="22">
                  <c:v>6840052312.8181257</c:v>
                </c:pt>
                <c:pt idx="23">
                  <c:v>7031810510.1987314</c:v>
                </c:pt>
                <c:pt idx="24">
                  <c:v>7229321453.5007563</c:v>
                </c:pt>
              </c:numCache>
            </c:numRef>
          </c:val>
        </c:ser>
        <c:ser>
          <c:idx val="5"/>
          <c:order val="1"/>
          <c:tx>
            <c:v>Water Cut</c:v>
          </c:tx>
          <c:spPr>
            <a:solidFill>
              <a:srgbClr val="FF0000">
                <a:alpha val="43000"/>
              </a:srgbClr>
            </a:solid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Calculations'!$C$93:$AA$93</c:f>
              <c:numCache>
                <c:formatCode>"$"#,##0</c:formatCode>
                <c:ptCount val="25"/>
                <c:pt idx="0">
                  <c:v>2639596400.1312532</c:v>
                </c:pt>
                <c:pt idx="1">
                  <c:v>3247875400.1312532</c:v>
                </c:pt>
                <c:pt idx="2">
                  <c:v>3913574400.1312532</c:v>
                </c:pt>
                <c:pt idx="3">
                  <c:v>3419759400.1312532</c:v>
                </c:pt>
                <c:pt idx="4">
                  <c:v>3616436400.1312532</c:v>
                </c:pt>
                <c:pt idx="5">
                  <c:v>4585201400.1312532</c:v>
                </c:pt>
                <c:pt idx="6">
                  <c:v>4710807400.1312532</c:v>
                </c:pt>
                <c:pt idx="7">
                  <c:v>4550855400.1312532</c:v>
                </c:pt>
                <c:pt idx="8">
                  <c:v>4673937690.1312532</c:v>
                </c:pt>
                <c:pt idx="9">
                  <c:v>4800712448.8312531</c:v>
                </c:pt>
                <c:pt idx="10">
                  <c:v>4931290450.2922535</c:v>
                </c:pt>
                <c:pt idx="11">
                  <c:v>5065785791.7970839</c:v>
                </c:pt>
                <c:pt idx="12">
                  <c:v>5204315993.5470581</c:v>
                </c:pt>
                <c:pt idx="13">
                  <c:v>5347002101.3495331</c:v>
                </c:pt>
                <c:pt idx="14">
                  <c:v>5493968792.3860817</c:v>
                </c:pt>
                <c:pt idx="15">
                  <c:v>5645344484.1537256</c:v>
                </c:pt>
                <c:pt idx="16">
                  <c:v>5801261446.6744003</c:v>
                </c:pt>
                <c:pt idx="17">
                  <c:v>5961855918.0706949</c:v>
                </c:pt>
                <c:pt idx="18">
                  <c:v>6127268223.6088781</c:v>
                </c:pt>
                <c:pt idx="19">
                  <c:v>6297642898.3132067</c:v>
                </c:pt>
                <c:pt idx="20">
                  <c:v>6473128813.258666</c:v>
                </c:pt>
                <c:pt idx="21">
                  <c:v>6653879305.6524887</c:v>
                </c:pt>
                <c:pt idx="22">
                  <c:v>6840052312.8181257</c:v>
                </c:pt>
                <c:pt idx="23">
                  <c:v>7031810510.1987314</c:v>
                </c:pt>
                <c:pt idx="24">
                  <c:v>7229321453.5007563</c:v>
                </c:pt>
              </c:numCache>
            </c:numRef>
          </c:val>
        </c:ser>
        <c:ser>
          <c:idx val="1"/>
          <c:order val="2"/>
          <c:tx>
            <c:v>OTDS</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Calculations'!$B$259:$Z$259</c:f>
              <c:numCache>
                <c:formatCode>_("$"* #,##0.00_);_("$"* \(#,##0.00\);_("$"* "-"??_);_(@_)</c:formatCode>
                <c:ptCount val="25"/>
                <c:pt idx="0">
                  <c:v>2639596400.1312532</c:v>
                </c:pt>
                <c:pt idx="1">
                  <c:v>3247875400.1312532</c:v>
                </c:pt>
                <c:pt idx="2">
                  <c:v>3913574400.1312532</c:v>
                </c:pt>
                <c:pt idx="3">
                  <c:v>3419759400.1312532</c:v>
                </c:pt>
                <c:pt idx="4">
                  <c:v>3616436400.1312532</c:v>
                </c:pt>
                <c:pt idx="5">
                  <c:v>4585201400.1312532</c:v>
                </c:pt>
                <c:pt idx="6">
                  <c:v>4710807400.1312532</c:v>
                </c:pt>
                <c:pt idx="7">
                  <c:v>4550855400.1312532</c:v>
                </c:pt>
                <c:pt idx="8">
                  <c:v>4673937690.1312532</c:v>
                </c:pt>
                <c:pt idx="9">
                  <c:v>4800712448.8312531</c:v>
                </c:pt>
                <c:pt idx="10">
                  <c:v>4931290450.2922535</c:v>
                </c:pt>
                <c:pt idx="11">
                  <c:v>5065785791.7970839</c:v>
                </c:pt>
                <c:pt idx="12">
                  <c:v>5204315993.5470581</c:v>
                </c:pt>
                <c:pt idx="13">
                  <c:v>5347002101.3495331</c:v>
                </c:pt>
                <c:pt idx="14">
                  <c:v>5493968792.3860817</c:v>
                </c:pt>
                <c:pt idx="15">
                  <c:v>5645344484.1537256</c:v>
                </c:pt>
                <c:pt idx="16">
                  <c:v>5801261446.6744003</c:v>
                </c:pt>
                <c:pt idx="17">
                  <c:v>5961855918.0706949</c:v>
                </c:pt>
                <c:pt idx="18">
                  <c:v>6127268223.6088781</c:v>
                </c:pt>
                <c:pt idx="19">
                  <c:v>6297642898.3132067</c:v>
                </c:pt>
                <c:pt idx="20">
                  <c:v>6473128813.258666</c:v>
                </c:pt>
                <c:pt idx="21">
                  <c:v>6653879305.6524887</c:v>
                </c:pt>
                <c:pt idx="22">
                  <c:v>6840052312.8181257</c:v>
                </c:pt>
                <c:pt idx="23">
                  <c:v>7031810510.1987314</c:v>
                </c:pt>
                <c:pt idx="24">
                  <c:v>7229321453.5007563</c:v>
                </c:pt>
              </c:numCache>
            </c:numRef>
          </c:val>
        </c:ser>
        <c:ser>
          <c:idx val="0"/>
          <c:order val="3"/>
          <c:tx>
            <c:v>Spending</c:v>
          </c:tx>
          <c:spPr>
            <a:solidFill>
              <a:srgbClr val="FF0000"/>
            </a:solidFill>
            <a:ln w="25400">
              <a:noFill/>
            </a:ln>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Calculations'!$C$81:$AA$81</c:f>
              <c:numCache>
                <c:formatCode>"$"#,##0</c:formatCode>
                <c:ptCount val="25"/>
                <c:pt idx="0">
                  <c:v>166631144.80053294</c:v>
                </c:pt>
                <c:pt idx="1">
                  <c:v>176662877.05188915</c:v>
                </c:pt>
                <c:pt idx="2">
                  <c:v>299175747.1108681</c:v>
                </c:pt>
                <c:pt idx="3">
                  <c:v>129880559</c:v>
                </c:pt>
                <c:pt idx="4">
                  <c:v>56828394</c:v>
                </c:pt>
                <c:pt idx="5">
                  <c:v>90330986</c:v>
                </c:pt>
                <c:pt idx="6">
                  <c:v>260301069</c:v>
                </c:pt>
                <c:pt idx="7">
                  <c:v>277118433</c:v>
                </c:pt>
                <c:pt idx="8">
                  <c:v>203951985</c:v>
                </c:pt>
                <c:pt idx="9">
                  <c:v>210070544.55000001</c:v>
                </c:pt>
                <c:pt idx="10">
                  <c:v>216372660.8865</c:v>
                </c:pt>
                <c:pt idx="11">
                  <c:v>222863840.71309501</c:v>
                </c:pt>
                <c:pt idx="12">
                  <c:v>229549755.93448785</c:v>
                </c:pt>
                <c:pt idx="13">
                  <c:v>236436248.61252248</c:v>
                </c:pt>
                <c:pt idx="14">
                  <c:v>243529336.07089815</c:v>
                </c:pt>
                <c:pt idx="15">
                  <c:v>250835216.15302509</c:v>
                </c:pt>
                <c:pt idx="16">
                  <c:v>258360272.63761583</c:v>
                </c:pt>
                <c:pt idx="17">
                  <c:v>266111080.8167443</c:v>
                </c:pt>
                <c:pt idx="18">
                  <c:v>274094413.24124664</c:v>
                </c:pt>
                <c:pt idx="19">
                  <c:v>282317245.63848406</c:v>
                </c:pt>
                <c:pt idx="20">
                  <c:v>290786763.00763857</c:v>
                </c:pt>
                <c:pt idx="21">
                  <c:v>299510365.89786774</c:v>
                </c:pt>
                <c:pt idx="22">
                  <c:v>308495676.87480378</c:v>
                </c:pt>
                <c:pt idx="23">
                  <c:v>317750547.18104792</c:v>
                </c:pt>
                <c:pt idx="24">
                  <c:v>327283063.59647936</c:v>
                </c:pt>
              </c:numCache>
            </c:numRef>
          </c:val>
        </c:ser>
        <c:dLbls>
          <c:showLegendKey val="0"/>
          <c:showVal val="0"/>
          <c:showCatName val="0"/>
          <c:showSerName val="0"/>
          <c:showPercent val="0"/>
          <c:showBubbleSize val="0"/>
        </c:dLbls>
        <c:axId val="407113728"/>
        <c:axId val="407115264"/>
      </c:areaChart>
      <c:lineChart>
        <c:grouping val="standard"/>
        <c:varyColors val="0"/>
        <c:ser>
          <c:idx val="3"/>
          <c:order val="4"/>
          <c:tx>
            <c:v>Existing Limit</c:v>
          </c:tx>
          <c:spPr>
            <a:ln>
              <a:solidFill>
                <a:schemeClr val="tx1"/>
              </a:solidFill>
            </a:ln>
          </c:spPr>
          <c:marker>
            <c:symbol val="none"/>
          </c:marker>
          <c:val>
            <c:numRef>
              <c:f>'OTDS Tab Calculations'!$C$93:$AA$93</c:f>
              <c:numCache>
                <c:formatCode>"$"#,##0</c:formatCode>
                <c:ptCount val="25"/>
                <c:pt idx="0">
                  <c:v>2639596400.1312532</c:v>
                </c:pt>
                <c:pt idx="1">
                  <c:v>3247875400.1312532</c:v>
                </c:pt>
                <c:pt idx="2">
                  <c:v>3913574400.1312532</c:v>
                </c:pt>
                <c:pt idx="3">
                  <c:v>3419759400.1312532</c:v>
                </c:pt>
                <c:pt idx="4">
                  <c:v>3616436400.1312532</c:v>
                </c:pt>
                <c:pt idx="5">
                  <c:v>4585201400.1312532</c:v>
                </c:pt>
                <c:pt idx="6">
                  <c:v>4710807400.1312532</c:v>
                </c:pt>
                <c:pt idx="7">
                  <c:v>4550855400.1312532</c:v>
                </c:pt>
                <c:pt idx="8">
                  <c:v>4673937690.1312532</c:v>
                </c:pt>
                <c:pt idx="9">
                  <c:v>4800712448.8312531</c:v>
                </c:pt>
                <c:pt idx="10">
                  <c:v>4931290450.2922535</c:v>
                </c:pt>
                <c:pt idx="11">
                  <c:v>5065785791.7970839</c:v>
                </c:pt>
                <c:pt idx="12">
                  <c:v>5204315993.5470581</c:v>
                </c:pt>
                <c:pt idx="13">
                  <c:v>5347002101.3495331</c:v>
                </c:pt>
                <c:pt idx="14">
                  <c:v>5493968792.3860817</c:v>
                </c:pt>
                <c:pt idx="15">
                  <c:v>5645344484.1537256</c:v>
                </c:pt>
                <c:pt idx="16">
                  <c:v>5801261446.6744003</c:v>
                </c:pt>
                <c:pt idx="17">
                  <c:v>5961855918.0706949</c:v>
                </c:pt>
                <c:pt idx="18">
                  <c:v>6127268223.6088781</c:v>
                </c:pt>
                <c:pt idx="19">
                  <c:v>6297642898.3132067</c:v>
                </c:pt>
                <c:pt idx="20">
                  <c:v>6473128813.258666</c:v>
                </c:pt>
                <c:pt idx="21">
                  <c:v>6653879305.6524887</c:v>
                </c:pt>
                <c:pt idx="22">
                  <c:v>6840052312.8181257</c:v>
                </c:pt>
                <c:pt idx="23">
                  <c:v>7031810510.1987314</c:v>
                </c:pt>
                <c:pt idx="24">
                  <c:v>7229321453.5007563</c:v>
                </c:pt>
              </c:numCache>
            </c:numRef>
          </c:val>
          <c:smooth val="0"/>
        </c:ser>
        <c:ser>
          <c:idx val="2"/>
          <c:order val="5"/>
          <c:tx>
            <c:v>OTDS</c:v>
          </c:tx>
          <c:spPr>
            <a:ln>
              <a:solidFill>
                <a:srgbClr val="FFFF00"/>
              </a:solidFill>
              <a:prstDash val="dash"/>
            </a:ln>
          </c:spPr>
          <c:marker>
            <c:symbol val="none"/>
          </c:marker>
          <c:val>
            <c:numRef>
              <c:f>'OTDS Tab Calculations'!$C$68:$AA$68</c:f>
              <c:numCache>
                <c:formatCode>"$"#,##0</c:formatCode>
                <c:ptCount val="25"/>
                <c:pt idx="0">
                  <c:v>2639596400.1312532</c:v>
                </c:pt>
                <c:pt idx="1">
                  <c:v>3247875400.1312532</c:v>
                </c:pt>
                <c:pt idx="2">
                  <c:v>3913574400.1312532</c:v>
                </c:pt>
                <c:pt idx="3">
                  <c:v>3419759400.1312532</c:v>
                </c:pt>
                <c:pt idx="4">
                  <c:v>3616436400.1312532</c:v>
                </c:pt>
                <c:pt idx="5">
                  <c:v>4585201400.1312532</c:v>
                </c:pt>
                <c:pt idx="6">
                  <c:v>4710807400.1312532</c:v>
                </c:pt>
                <c:pt idx="7">
                  <c:v>4550855400.1312532</c:v>
                </c:pt>
                <c:pt idx="8">
                  <c:v>4673937690.1312532</c:v>
                </c:pt>
                <c:pt idx="9">
                  <c:v>4800712448.8312531</c:v>
                </c:pt>
                <c:pt idx="10">
                  <c:v>4931290450.2922535</c:v>
                </c:pt>
                <c:pt idx="11">
                  <c:v>5065785791.7970839</c:v>
                </c:pt>
                <c:pt idx="12">
                  <c:v>5204315993.5470581</c:v>
                </c:pt>
                <c:pt idx="13">
                  <c:v>5347002101.3495331</c:v>
                </c:pt>
                <c:pt idx="14">
                  <c:v>5493968792.3860817</c:v>
                </c:pt>
                <c:pt idx="15">
                  <c:v>5645344484.1537256</c:v>
                </c:pt>
                <c:pt idx="16">
                  <c:v>5801261446.6744003</c:v>
                </c:pt>
                <c:pt idx="17">
                  <c:v>5961855918.0706949</c:v>
                </c:pt>
                <c:pt idx="18">
                  <c:v>6127268223.6088781</c:v>
                </c:pt>
                <c:pt idx="19">
                  <c:v>6297642898.3132067</c:v>
                </c:pt>
                <c:pt idx="20">
                  <c:v>6473128813.258666</c:v>
                </c:pt>
                <c:pt idx="21">
                  <c:v>6653879305.6524887</c:v>
                </c:pt>
                <c:pt idx="22">
                  <c:v>6840052312.8181257</c:v>
                </c:pt>
                <c:pt idx="23">
                  <c:v>7031810510.1987314</c:v>
                </c:pt>
                <c:pt idx="24">
                  <c:v>7229321453.5007563</c:v>
                </c:pt>
              </c:numCache>
            </c:numRef>
          </c:val>
          <c:smooth val="0"/>
        </c:ser>
        <c:dLbls>
          <c:showLegendKey val="0"/>
          <c:showVal val="0"/>
          <c:showCatName val="0"/>
          <c:showSerName val="0"/>
          <c:showPercent val="0"/>
          <c:showBubbleSize val="0"/>
        </c:dLbls>
        <c:marker val="1"/>
        <c:smooth val="0"/>
        <c:axId val="407113728"/>
        <c:axId val="407115264"/>
      </c:lineChart>
      <c:catAx>
        <c:axId val="407113728"/>
        <c:scaling>
          <c:orientation val="minMax"/>
        </c:scaling>
        <c:delete val="0"/>
        <c:axPos val="b"/>
        <c:numFmt formatCode="General" sourceLinked="1"/>
        <c:majorTickMark val="out"/>
        <c:minorTickMark val="none"/>
        <c:tickLblPos val="nextTo"/>
        <c:crossAx val="407115264"/>
        <c:crosses val="autoZero"/>
        <c:auto val="1"/>
        <c:lblAlgn val="ctr"/>
        <c:lblOffset val="100"/>
        <c:noMultiLvlLbl val="0"/>
      </c:catAx>
      <c:valAx>
        <c:axId val="407115264"/>
        <c:scaling>
          <c:orientation val="minMax"/>
        </c:scaling>
        <c:delete val="0"/>
        <c:axPos val="l"/>
        <c:numFmt formatCode="&quot;$&quot;#,##0" sourceLinked="1"/>
        <c:majorTickMark val="out"/>
        <c:minorTickMark val="none"/>
        <c:tickLblPos val="nextTo"/>
        <c:crossAx val="407113728"/>
        <c:crossesAt val="1"/>
        <c:crossBetween val="between"/>
        <c:dispUnits>
          <c:builtInUnit val="billions"/>
          <c:dispUnitsLbl>
            <c:layout>
              <c:manualLayout>
                <c:xMode val="edge"/>
                <c:yMode val="edge"/>
                <c:x val="5.3057742782152235E-3"/>
                <c:y val="0.30603018372703411"/>
              </c:manualLayout>
            </c:layout>
          </c:dispUnitsLbl>
        </c:dispUnits>
      </c:valAx>
    </c:plotArea>
    <c:legend>
      <c:legendPos val="r"/>
      <c:legendEntry>
        <c:idx val="0"/>
        <c:delete val="1"/>
      </c:legendEntry>
      <c:legendEntry>
        <c:idx val="2"/>
        <c:delete val="1"/>
      </c:legendEntry>
      <c:layout>
        <c:manualLayout>
          <c:xMode val="edge"/>
          <c:yMode val="edge"/>
          <c:x val="0.16086023622047244"/>
          <c:y val="0.80517169728783899"/>
          <c:w val="0.7025564304461942"/>
          <c:h val="0.15316163604549432"/>
        </c:manualLayout>
      </c:layout>
      <c:overlay val="0"/>
      <c:spPr>
        <a:solidFill>
          <a:schemeClr val="bg1">
            <a:lumMod val="85000"/>
          </a:schemeClr>
        </a:solidFill>
        <a:ln>
          <a:solidFill>
            <a:sysClr val="windowText" lastClr="000000"/>
          </a:solidFill>
        </a:ln>
      </c:spPr>
    </c:legend>
    <c:plotVisOnly val="1"/>
    <c:dispBlanksAs val="zero"/>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China</a:t>
            </a:r>
          </a:p>
        </c:rich>
      </c:tx>
      <c:layout/>
      <c:overlay val="1"/>
    </c:title>
    <c:autoTitleDeleted val="0"/>
    <c:plotArea>
      <c:layout>
        <c:manualLayout>
          <c:layoutTarget val="inner"/>
          <c:xMode val="edge"/>
          <c:yMode val="edge"/>
          <c:x val="0.13619706911636045"/>
          <c:y val="5.1400554097404488E-2"/>
          <c:w val="0.83299650043744533"/>
          <c:h val="0.63319845435987165"/>
        </c:manualLayout>
      </c:layout>
      <c:areaChart>
        <c:grouping val="standard"/>
        <c:varyColors val="0"/>
        <c:ser>
          <c:idx val="4"/>
          <c:order val="0"/>
          <c:tx>
            <c:v>"Water Remaining"</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Calculations'!$C$96:$AA$96</c:f>
              <c:numCache>
                <c:formatCode>"$"#,##0</c:formatCode>
                <c:ptCount val="25"/>
                <c:pt idx="0">
                  <c:v>87233609600</c:v>
                </c:pt>
                <c:pt idx="1">
                  <c:v>104454619800</c:v>
                </c:pt>
                <c:pt idx="2">
                  <c:v>130685985300.00002</c:v>
                </c:pt>
                <c:pt idx="3">
                  <c:v>131736575100.00002</c:v>
                </c:pt>
                <c:pt idx="4">
                  <c:v>150826621400</c:v>
                </c:pt>
                <c:pt idx="5">
                  <c:v>195952575700</c:v>
                </c:pt>
                <c:pt idx="6">
                  <c:v>209051862800</c:v>
                </c:pt>
                <c:pt idx="7">
                  <c:v>218381903100.00003</c:v>
                </c:pt>
                <c:pt idx="8">
                  <c:v>224933360193.00003</c:v>
                </c:pt>
                <c:pt idx="9">
                  <c:v>231681360998.79001</c:v>
                </c:pt>
                <c:pt idx="10">
                  <c:v>238631801828.75372</c:v>
                </c:pt>
                <c:pt idx="11">
                  <c:v>245790755883.61636</c:v>
                </c:pt>
                <c:pt idx="12">
                  <c:v>253164478560.12485</c:v>
                </c:pt>
                <c:pt idx="13">
                  <c:v>260759412916.92859</c:v>
                </c:pt>
                <c:pt idx="14">
                  <c:v>268582195304.43643</c:v>
                </c:pt>
                <c:pt idx="15">
                  <c:v>276639661163.56952</c:v>
                </c:pt>
                <c:pt idx="16">
                  <c:v>284938850998.47662</c:v>
                </c:pt>
                <c:pt idx="17">
                  <c:v>293487016528.43097</c:v>
                </c:pt>
                <c:pt idx="18">
                  <c:v>302291627024.28387</c:v>
                </c:pt>
                <c:pt idx="19">
                  <c:v>311360375835.01239</c:v>
                </c:pt>
                <c:pt idx="20">
                  <c:v>320701187110.06274</c:v>
                </c:pt>
                <c:pt idx="21">
                  <c:v>330322222723.36462</c:v>
                </c:pt>
                <c:pt idx="22">
                  <c:v>340231889405.06555</c:v>
                </c:pt>
                <c:pt idx="23">
                  <c:v>350438846087.21753</c:v>
                </c:pt>
                <c:pt idx="24">
                  <c:v>360952011469.83405</c:v>
                </c:pt>
              </c:numCache>
            </c:numRef>
          </c:val>
        </c:ser>
        <c:ser>
          <c:idx val="5"/>
          <c:order val="1"/>
          <c:tx>
            <c:v>Water Cut</c:v>
          </c:tx>
          <c:spPr>
            <a:solidFill>
              <a:srgbClr val="FF0000">
                <a:alpha val="43000"/>
              </a:srgbClr>
            </a:solid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Calculations'!$C$96:$AA$96</c:f>
              <c:numCache>
                <c:formatCode>"$"#,##0</c:formatCode>
                <c:ptCount val="25"/>
                <c:pt idx="0">
                  <c:v>87233609600</c:v>
                </c:pt>
                <c:pt idx="1">
                  <c:v>104454619800</c:v>
                </c:pt>
                <c:pt idx="2">
                  <c:v>130685985300.00002</c:v>
                </c:pt>
                <c:pt idx="3">
                  <c:v>131736575100.00002</c:v>
                </c:pt>
                <c:pt idx="4">
                  <c:v>150826621400</c:v>
                </c:pt>
                <c:pt idx="5">
                  <c:v>195952575700</c:v>
                </c:pt>
                <c:pt idx="6">
                  <c:v>209051862800</c:v>
                </c:pt>
                <c:pt idx="7">
                  <c:v>218381903100.00003</c:v>
                </c:pt>
                <c:pt idx="8">
                  <c:v>224933360193.00003</c:v>
                </c:pt>
                <c:pt idx="9">
                  <c:v>231681360998.79001</c:v>
                </c:pt>
                <c:pt idx="10">
                  <c:v>238631801828.75372</c:v>
                </c:pt>
                <c:pt idx="11">
                  <c:v>245790755883.61636</c:v>
                </c:pt>
                <c:pt idx="12">
                  <c:v>253164478560.12485</c:v>
                </c:pt>
                <c:pt idx="13">
                  <c:v>260759412916.92859</c:v>
                </c:pt>
                <c:pt idx="14">
                  <c:v>268582195304.43643</c:v>
                </c:pt>
                <c:pt idx="15">
                  <c:v>276639661163.56952</c:v>
                </c:pt>
                <c:pt idx="16">
                  <c:v>284938850998.47662</c:v>
                </c:pt>
                <c:pt idx="17">
                  <c:v>293487016528.43097</c:v>
                </c:pt>
                <c:pt idx="18">
                  <c:v>302291627024.28387</c:v>
                </c:pt>
                <c:pt idx="19">
                  <c:v>311360375835.01239</c:v>
                </c:pt>
                <c:pt idx="20">
                  <c:v>320701187110.06274</c:v>
                </c:pt>
                <c:pt idx="21">
                  <c:v>330322222723.36462</c:v>
                </c:pt>
                <c:pt idx="22">
                  <c:v>340231889405.06555</c:v>
                </c:pt>
                <c:pt idx="23">
                  <c:v>350438846087.21753</c:v>
                </c:pt>
                <c:pt idx="24">
                  <c:v>360952011469.83405</c:v>
                </c:pt>
              </c:numCache>
            </c:numRef>
          </c:val>
        </c:ser>
        <c:ser>
          <c:idx val="1"/>
          <c:order val="2"/>
          <c:tx>
            <c:v>OTDS</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Calculations'!$B$262:$Z$262</c:f>
              <c:numCache>
                <c:formatCode>_("$"* #,##0.00_);_("$"* \(#,##0.00\);_("$"* "-"??_);_(@_)</c:formatCode>
                <c:ptCount val="25"/>
                <c:pt idx="0">
                  <c:v>87233609600</c:v>
                </c:pt>
                <c:pt idx="1">
                  <c:v>104454619800</c:v>
                </c:pt>
                <c:pt idx="2">
                  <c:v>130685985300.00002</c:v>
                </c:pt>
                <c:pt idx="3">
                  <c:v>131736575100.00002</c:v>
                </c:pt>
                <c:pt idx="4">
                  <c:v>150826621400</c:v>
                </c:pt>
                <c:pt idx="5">
                  <c:v>195952575700</c:v>
                </c:pt>
                <c:pt idx="6">
                  <c:v>209051862800</c:v>
                </c:pt>
                <c:pt idx="7">
                  <c:v>218381903100.00003</c:v>
                </c:pt>
                <c:pt idx="8">
                  <c:v>224933360193.00003</c:v>
                </c:pt>
                <c:pt idx="9">
                  <c:v>231681360998.79001</c:v>
                </c:pt>
                <c:pt idx="10">
                  <c:v>238631801828.75372</c:v>
                </c:pt>
                <c:pt idx="11">
                  <c:v>245790755883.61636</c:v>
                </c:pt>
                <c:pt idx="12">
                  <c:v>253164478560.12485</c:v>
                </c:pt>
                <c:pt idx="13">
                  <c:v>260759412916.92859</c:v>
                </c:pt>
                <c:pt idx="14">
                  <c:v>268582195304.43643</c:v>
                </c:pt>
                <c:pt idx="15">
                  <c:v>276639661163.56952</c:v>
                </c:pt>
                <c:pt idx="16">
                  <c:v>284938850998.47662</c:v>
                </c:pt>
                <c:pt idx="17">
                  <c:v>293487016528.43097</c:v>
                </c:pt>
                <c:pt idx="18">
                  <c:v>302291627024.28387</c:v>
                </c:pt>
                <c:pt idx="19">
                  <c:v>311360375835.01239</c:v>
                </c:pt>
                <c:pt idx="20">
                  <c:v>320701187110.06274</c:v>
                </c:pt>
                <c:pt idx="21">
                  <c:v>330322222723.36462</c:v>
                </c:pt>
                <c:pt idx="22">
                  <c:v>340231889405.06555</c:v>
                </c:pt>
                <c:pt idx="23">
                  <c:v>350438846087.21753</c:v>
                </c:pt>
                <c:pt idx="24">
                  <c:v>360952011469.83405</c:v>
                </c:pt>
              </c:numCache>
            </c:numRef>
          </c:val>
        </c:ser>
        <c:ser>
          <c:idx val="0"/>
          <c:order val="3"/>
          <c:tx>
            <c:v>Spending</c:v>
          </c:tx>
          <c:spPr>
            <a:solidFill>
              <a:srgbClr val="FF0000"/>
            </a:solidFill>
            <a:ln w="25400">
              <a:noFill/>
            </a:ln>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Calculations'!$C$84:$AA$84</c:f>
              <c:numCache>
                <c:formatCode>"$"#,##0</c:formatCode>
                <c:ptCount val="25"/>
                <c:pt idx="0">
                  <c:v>2009930999</c:v>
                </c:pt>
                <c:pt idx="1">
                  <c:v>5453338325</c:v>
                </c:pt>
                <c:pt idx="2">
                  <c:v>13856225058</c:v>
                </c:pt>
                <c:pt idx="3">
                  <c:v>16418580676</c:v>
                </c:pt>
                <c:pt idx="4">
                  <c:v>18582798362</c:v>
                </c:pt>
                <c:pt idx="5">
                  <c:v>19140282312.860001</c:v>
                </c:pt>
                <c:pt idx="6">
                  <c:v>19714490782.2458</c:v>
                </c:pt>
                <c:pt idx="7">
                  <c:v>20305925505.713173</c:v>
                </c:pt>
                <c:pt idx="8">
                  <c:v>20915103270.884567</c:v>
                </c:pt>
                <c:pt idx="9">
                  <c:v>21542556369.011105</c:v>
                </c:pt>
                <c:pt idx="10">
                  <c:v>22188833060.081436</c:v>
                </c:pt>
                <c:pt idx="11">
                  <c:v>22854498051.883881</c:v>
                </c:pt>
                <c:pt idx="12">
                  <c:v>23540132993.440395</c:v>
                </c:pt>
                <c:pt idx="13">
                  <c:v>24246336983.243607</c:v>
                </c:pt>
                <c:pt idx="14">
                  <c:v>24973727092.740913</c:v>
                </c:pt>
                <c:pt idx="15">
                  <c:v>25722938905.52314</c:v>
                </c:pt>
                <c:pt idx="16">
                  <c:v>26494627072.688835</c:v>
                </c:pt>
                <c:pt idx="17">
                  <c:v>27289465884.869499</c:v>
                </c:pt>
                <c:pt idx="18">
                  <c:v>28108149861.415585</c:v>
                </c:pt>
                <c:pt idx="19">
                  <c:v>28951394357.258053</c:v>
                </c:pt>
                <c:pt idx="20">
                  <c:v>29819936187.975796</c:v>
                </c:pt>
                <c:pt idx="21">
                  <c:v>30714534273.61507</c:v>
                </c:pt>
                <c:pt idx="22">
                  <c:v>31635970301.823521</c:v>
                </c:pt>
                <c:pt idx="23">
                  <c:v>32585049410.878227</c:v>
                </c:pt>
                <c:pt idx="24">
                  <c:v>33562600893.204575</c:v>
                </c:pt>
              </c:numCache>
            </c:numRef>
          </c:val>
        </c:ser>
        <c:dLbls>
          <c:showLegendKey val="0"/>
          <c:showVal val="0"/>
          <c:showCatName val="0"/>
          <c:showSerName val="0"/>
          <c:showPercent val="0"/>
          <c:showBubbleSize val="0"/>
        </c:dLbls>
        <c:axId val="407149952"/>
        <c:axId val="407172224"/>
      </c:areaChart>
      <c:lineChart>
        <c:grouping val="standard"/>
        <c:varyColors val="0"/>
        <c:ser>
          <c:idx val="3"/>
          <c:order val="4"/>
          <c:tx>
            <c:v>Existing Limit</c:v>
          </c:tx>
          <c:spPr>
            <a:ln>
              <a:solidFill>
                <a:schemeClr val="tx1"/>
              </a:solidFill>
            </a:ln>
          </c:spPr>
          <c:marker>
            <c:symbol val="none"/>
          </c:marker>
          <c:val>
            <c:numRef>
              <c:f>'OTDS Tab Calculations'!$C$96:$AA$96</c:f>
              <c:numCache>
                <c:formatCode>"$"#,##0</c:formatCode>
                <c:ptCount val="25"/>
                <c:pt idx="0">
                  <c:v>87233609600</c:v>
                </c:pt>
                <c:pt idx="1">
                  <c:v>104454619800</c:v>
                </c:pt>
                <c:pt idx="2">
                  <c:v>130685985300.00002</c:v>
                </c:pt>
                <c:pt idx="3">
                  <c:v>131736575100.00002</c:v>
                </c:pt>
                <c:pt idx="4">
                  <c:v>150826621400</c:v>
                </c:pt>
                <c:pt idx="5">
                  <c:v>195952575700</c:v>
                </c:pt>
                <c:pt idx="6">
                  <c:v>209051862800</c:v>
                </c:pt>
                <c:pt idx="7">
                  <c:v>218381903100.00003</c:v>
                </c:pt>
                <c:pt idx="8">
                  <c:v>224933360193.00003</c:v>
                </c:pt>
                <c:pt idx="9">
                  <c:v>231681360998.79001</c:v>
                </c:pt>
                <c:pt idx="10">
                  <c:v>238631801828.75372</c:v>
                </c:pt>
                <c:pt idx="11">
                  <c:v>245790755883.61636</c:v>
                </c:pt>
                <c:pt idx="12">
                  <c:v>253164478560.12485</c:v>
                </c:pt>
                <c:pt idx="13">
                  <c:v>260759412916.92859</c:v>
                </c:pt>
                <c:pt idx="14">
                  <c:v>268582195304.43643</c:v>
                </c:pt>
                <c:pt idx="15">
                  <c:v>276639661163.56952</c:v>
                </c:pt>
                <c:pt idx="16">
                  <c:v>284938850998.47662</c:v>
                </c:pt>
                <c:pt idx="17">
                  <c:v>293487016528.43097</c:v>
                </c:pt>
                <c:pt idx="18">
                  <c:v>302291627024.28387</c:v>
                </c:pt>
                <c:pt idx="19">
                  <c:v>311360375835.01239</c:v>
                </c:pt>
                <c:pt idx="20">
                  <c:v>320701187110.06274</c:v>
                </c:pt>
                <c:pt idx="21">
                  <c:v>330322222723.36462</c:v>
                </c:pt>
                <c:pt idx="22">
                  <c:v>340231889405.06555</c:v>
                </c:pt>
                <c:pt idx="23">
                  <c:v>350438846087.21753</c:v>
                </c:pt>
                <c:pt idx="24">
                  <c:v>360952011469.83405</c:v>
                </c:pt>
              </c:numCache>
            </c:numRef>
          </c:val>
          <c:smooth val="0"/>
        </c:ser>
        <c:ser>
          <c:idx val="2"/>
          <c:order val="5"/>
          <c:tx>
            <c:v>OTDS</c:v>
          </c:tx>
          <c:spPr>
            <a:ln>
              <a:solidFill>
                <a:srgbClr val="FFFF00"/>
              </a:solidFill>
              <a:prstDash val="dash"/>
            </a:ln>
          </c:spPr>
          <c:marker>
            <c:symbol val="none"/>
          </c:marker>
          <c:val>
            <c:numRef>
              <c:f>'OTDS Tab Calculations'!$C$71:$AA$71</c:f>
              <c:numCache>
                <c:formatCode>"$"#,##0</c:formatCode>
                <c:ptCount val="25"/>
                <c:pt idx="0">
                  <c:v>87233609600</c:v>
                </c:pt>
                <c:pt idx="1">
                  <c:v>104454619800</c:v>
                </c:pt>
                <c:pt idx="2">
                  <c:v>130685985300.00002</c:v>
                </c:pt>
                <c:pt idx="3">
                  <c:v>131736575100.00002</c:v>
                </c:pt>
                <c:pt idx="4">
                  <c:v>150826621400</c:v>
                </c:pt>
                <c:pt idx="5">
                  <c:v>195952575700</c:v>
                </c:pt>
                <c:pt idx="6">
                  <c:v>209051862800</c:v>
                </c:pt>
                <c:pt idx="7">
                  <c:v>218381903100.00003</c:v>
                </c:pt>
                <c:pt idx="8">
                  <c:v>224933360193.00003</c:v>
                </c:pt>
                <c:pt idx="9">
                  <c:v>231681360998.79001</c:v>
                </c:pt>
                <c:pt idx="10">
                  <c:v>238631801828.75372</c:v>
                </c:pt>
                <c:pt idx="11">
                  <c:v>245790755883.61636</c:v>
                </c:pt>
                <c:pt idx="12">
                  <c:v>253164478560.12485</c:v>
                </c:pt>
                <c:pt idx="13">
                  <c:v>260759412916.92859</c:v>
                </c:pt>
                <c:pt idx="14">
                  <c:v>268582195304.43643</c:v>
                </c:pt>
                <c:pt idx="15">
                  <c:v>276639661163.56952</c:v>
                </c:pt>
                <c:pt idx="16">
                  <c:v>284938850998.47662</c:v>
                </c:pt>
                <c:pt idx="17">
                  <c:v>293487016528.43097</c:v>
                </c:pt>
                <c:pt idx="18">
                  <c:v>302291627024.28387</c:v>
                </c:pt>
                <c:pt idx="19">
                  <c:v>311360375835.01239</c:v>
                </c:pt>
                <c:pt idx="20">
                  <c:v>320701187110.06274</c:v>
                </c:pt>
                <c:pt idx="21">
                  <c:v>330322222723.36462</c:v>
                </c:pt>
                <c:pt idx="22">
                  <c:v>340231889405.06555</c:v>
                </c:pt>
                <c:pt idx="23">
                  <c:v>350438846087.21753</c:v>
                </c:pt>
                <c:pt idx="24">
                  <c:v>360952011469.83405</c:v>
                </c:pt>
              </c:numCache>
            </c:numRef>
          </c:val>
          <c:smooth val="0"/>
        </c:ser>
        <c:dLbls>
          <c:showLegendKey val="0"/>
          <c:showVal val="0"/>
          <c:showCatName val="0"/>
          <c:showSerName val="0"/>
          <c:showPercent val="0"/>
          <c:showBubbleSize val="0"/>
        </c:dLbls>
        <c:marker val="1"/>
        <c:smooth val="0"/>
        <c:axId val="407149952"/>
        <c:axId val="407172224"/>
      </c:lineChart>
      <c:catAx>
        <c:axId val="407149952"/>
        <c:scaling>
          <c:orientation val="minMax"/>
        </c:scaling>
        <c:delete val="0"/>
        <c:axPos val="b"/>
        <c:numFmt formatCode="General" sourceLinked="1"/>
        <c:majorTickMark val="out"/>
        <c:minorTickMark val="none"/>
        <c:tickLblPos val="nextTo"/>
        <c:crossAx val="407172224"/>
        <c:crosses val="autoZero"/>
        <c:auto val="1"/>
        <c:lblAlgn val="ctr"/>
        <c:lblOffset val="100"/>
        <c:noMultiLvlLbl val="0"/>
      </c:catAx>
      <c:valAx>
        <c:axId val="407172224"/>
        <c:scaling>
          <c:orientation val="minMax"/>
        </c:scaling>
        <c:delete val="0"/>
        <c:axPos val="l"/>
        <c:numFmt formatCode="&quot;$&quot;#,##0" sourceLinked="1"/>
        <c:majorTickMark val="out"/>
        <c:minorTickMark val="none"/>
        <c:tickLblPos val="nextTo"/>
        <c:crossAx val="407149952"/>
        <c:crossesAt val="1"/>
        <c:crossBetween val="between"/>
        <c:dispUnits>
          <c:builtInUnit val="billions"/>
          <c:dispUnitsLbl>
            <c:layout>
              <c:manualLayout>
                <c:xMode val="edge"/>
                <c:yMode val="edge"/>
                <c:x val="5.3057742782152235E-3"/>
                <c:y val="0.30603018372703411"/>
              </c:manualLayout>
            </c:layout>
          </c:dispUnitsLbl>
        </c:dispUnits>
      </c:valAx>
    </c:plotArea>
    <c:legend>
      <c:legendPos val="r"/>
      <c:legendEntry>
        <c:idx val="0"/>
        <c:delete val="1"/>
      </c:legendEntry>
      <c:legendEntry>
        <c:idx val="2"/>
        <c:delete val="1"/>
      </c:legendEntry>
      <c:layout>
        <c:manualLayout>
          <c:xMode val="edge"/>
          <c:yMode val="edge"/>
          <c:x val="0.1775269028871391"/>
          <c:y val="0.80517169728783899"/>
          <c:w val="0.7025564304461942"/>
          <c:h val="0.15316163604549432"/>
        </c:manualLayout>
      </c:layout>
      <c:overlay val="0"/>
      <c:spPr>
        <a:solidFill>
          <a:schemeClr val="bg1">
            <a:lumMod val="85000"/>
          </a:schemeClr>
        </a:solidFill>
        <a:ln>
          <a:solidFill>
            <a:sysClr val="windowText" lastClr="000000"/>
          </a:solidFill>
        </a:ln>
      </c:spPr>
    </c:legend>
    <c:plotVisOnly val="1"/>
    <c:dispBlanksAs val="zero"/>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European Union</a:t>
            </a:r>
          </a:p>
        </c:rich>
      </c:tx>
      <c:layout/>
      <c:overlay val="1"/>
    </c:title>
    <c:autoTitleDeleted val="0"/>
    <c:plotArea>
      <c:layout>
        <c:manualLayout>
          <c:layoutTarget val="inner"/>
          <c:xMode val="edge"/>
          <c:yMode val="edge"/>
          <c:x val="0.13619706911636045"/>
          <c:y val="5.1400554097404488E-2"/>
          <c:w val="0.83299650043744533"/>
          <c:h val="0.63319845435987165"/>
        </c:manualLayout>
      </c:layout>
      <c:areaChart>
        <c:grouping val="standard"/>
        <c:varyColors val="0"/>
        <c:ser>
          <c:idx val="4"/>
          <c:order val="0"/>
          <c:tx>
            <c:v>Water Remaining</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Calculations'!$C$97:$AA$97</c:f>
              <c:numCache>
                <c:formatCode>"$"#,##0</c:formatCode>
                <c:ptCount val="25"/>
                <c:pt idx="0">
                  <c:v>125135495795.58807</c:v>
                </c:pt>
                <c:pt idx="1">
                  <c:v>131395538795.58807</c:v>
                </c:pt>
                <c:pt idx="2">
                  <c:v>136316061795.58807</c:v>
                </c:pt>
                <c:pt idx="3">
                  <c:v>128273123795.58807</c:v>
                </c:pt>
                <c:pt idx="4">
                  <c:v>129824164795.58807</c:v>
                </c:pt>
                <c:pt idx="5">
                  <c:v>135701684795.58807</c:v>
                </c:pt>
                <c:pt idx="6">
                  <c:v>133145876795.58807</c:v>
                </c:pt>
                <c:pt idx="7">
                  <c:v>135721475795.58807</c:v>
                </c:pt>
                <c:pt idx="8">
                  <c:v>136961809085.58807</c:v>
                </c:pt>
                <c:pt idx="9">
                  <c:v>138239352374.28809</c:v>
                </c:pt>
                <c:pt idx="10">
                  <c:v>139555221961.64908</c:v>
                </c:pt>
                <c:pt idx="11">
                  <c:v>140910567636.63092</c:v>
                </c:pt>
                <c:pt idx="12">
                  <c:v>142306573681.86218</c:v>
                </c:pt>
                <c:pt idx="13">
                  <c:v>143744459908.45041</c:v>
                </c:pt>
                <c:pt idx="14">
                  <c:v>145225482721.8363</c:v>
                </c:pt>
                <c:pt idx="15">
                  <c:v>146750936219.62372</c:v>
                </c:pt>
                <c:pt idx="16">
                  <c:v>148322153322.34479</c:v>
                </c:pt>
                <c:pt idx="17">
                  <c:v>149940506938.14749</c:v>
                </c:pt>
                <c:pt idx="18">
                  <c:v>151607411162.42429</c:v>
                </c:pt>
                <c:pt idx="19">
                  <c:v>153324322513.42938</c:v>
                </c:pt>
                <c:pt idx="20">
                  <c:v>155092741204.9646</c:v>
                </c:pt>
                <c:pt idx="21">
                  <c:v>156914212457.24591</c:v>
                </c:pt>
                <c:pt idx="22">
                  <c:v>158790327847.09564</c:v>
                </c:pt>
                <c:pt idx="23">
                  <c:v>160722726698.64087</c:v>
                </c:pt>
                <c:pt idx="24">
                  <c:v>162713097515.73245</c:v>
                </c:pt>
              </c:numCache>
            </c:numRef>
          </c:val>
        </c:ser>
        <c:ser>
          <c:idx val="5"/>
          <c:order val="1"/>
          <c:tx>
            <c:v>Water Cut</c:v>
          </c:tx>
          <c:spPr>
            <a:solidFill>
              <a:srgbClr val="FF0000">
                <a:alpha val="43000"/>
              </a:srgbClr>
            </a:solid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Calculations'!$C$97:$AA$97</c:f>
              <c:numCache>
                <c:formatCode>"$"#,##0</c:formatCode>
                <c:ptCount val="25"/>
                <c:pt idx="0">
                  <c:v>125135495795.58807</c:v>
                </c:pt>
                <c:pt idx="1">
                  <c:v>131395538795.58807</c:v>
                </c:pt>
                <c:pt idx="2">
                  <c:v>136316061795.58807</c:v>
                </c:pt>
                <c:pt idx="3">
                  <c:v>128273123795.58807</c:v>
                </c:pt>
                <c:pt idx="4">
                  <c:v>129824164795.58807</c:v>
                </c:pt>
                <c:pt idx="5">
                  <c:v>135701684795.58807</c:v>
                </c:pt>
                <c:pt idx="6">
                  <c:v>133145876795.58807</c:v>
                </c:pt>
                <c:pt idx="7">
                  <c:v>135721475795.58807</c:v>
                </c:pt>
                <c:pt idx="8">
                  <c:v>136961809085.58807</c:v>
                </c:pt>
                <c:pt idx="9">
                  <c:v>138239352374.28809</c:v>
                </c:pt>
                <c:pt idx="10">
                  <c:v>139555221961.64908</c:v>
                </c:pt>
                <c:pt idx="11">
                  <c:v>140910567636.63092</c:v>
                </c:pt>
                <c:pt idx="12">
                  <c:v>142306573681.86218</c:v>
                </c:pt>
                <c:pt idx="13">
                  <c:v>143744459908.45041</c:v>
                </c:pt>
                <c:pt idx="14">
                  <c:v>145225482721.8363</c:v>
                </c:pt>
                <c:pt idx="15">
                  <c:v>146750936219.62372</c:v>
                </c:pt>
                <c:pt idx="16">
                  <c:v>148322153322.34479</c:v>
                </c:pt>
                <c:pt idx="17">
                  <c:v>149940506938.14749</c:v>
                </c:pt>
                <c:pt idx="18">
                  <c:v>151607411162.42429</c:v>
                </c:pt>
                <c:pt idx="19">
                  <c:v>153324322513.42938</c:v>
                </c:pt>
                <c:pt idx="20">
                  <c:v>155092741204.9646</c:v>
                </c:pt>
                <c:pt idx="21">
                  <c:v>156914212457.24591</c:v>
                </c:pt>
                <c:pt idx="22">
                  <c:v>158790327847.09564</c:v>
                </c:pt>
                <c:pt idx="23">
                  <c:v>160722726698.64087</c:v>
                </c:pt>
                <c:pt idx="24">
                  <c:v>162713097515.73245</c:v>
                </c:pt>
              </c:numCache>
            </c:numRef>
          </c:val>
        </c:ser>
        <c:ser>
          <c:idx val="1"/>
          <c:order val="2"/>
          <c:tx>
            <c:v>OTDS</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Calculations'!$B$263:$Z$263</c:f>
              <c:numCache>
                <c:formatCode>_("$"* #,##0.00_);_("$"* \(#,##0.00\);_("$"* "-"??_);_(@_)</c:formatCode>
                <c:ptCount val="25"/>
                <c:pt idx="0">
                  <c:v>125135495795.58807</c:v>
                </c:pt>
                <c:pt idx="1">
                  <c:v>131395538795.58807</c:v>
                </c:pt>
                <c:pt idx="2">
                  <c:v>136316061795.58807</c:v>
                </c:pt>
                <c:pt idx="3">
                  <c:v>128273123795.58807</c:v>
                </c:pt>
                <c:pt idx="4">
                  <c:v>129824164795.58807</c:v>
                </c:pt>
                <c:pt idx="5">
                  <c:v>135701684795.58807</c:v>
                </c:pt>
                <c:pt idx="6">
                  <c:v>133145876795.58807</c:v>
                </c:pt>
                <c:pt idx="7">
                  <c:v>135721475795.58807</c:v>
                </c:pt>
                <c:pt idx="8">
                  <c:v>136961809085.58807</c:v>
                </c:pt>
                <c:pt idx="9">
                  <c:v>138239352374.28809</c:v>
                </c:pt>
                <c:pt idx="10">
                  <c:v>139555221961.64908</c:v>
                </c:pt>
                <c:pt idx="11">
                  <c:v>140910567636.63092</c:v>
                </c:pt>
                <c:pt idx="12">
                  <c:v>142306573681.86218</c:v>
                </c:pt>
                <c:pt idx="13">
                  <c:v>143744459908.45041</c:v>
                </c:pt>
                <c:pt idx="14">
                  <c:v>145225482721.8363</c:v>
                </c:pt>
                <c:pt idx="15">
                  <c:v>146750936219.62372</c:v>
                </c:pt>
                <c:pt idx="16">
                  <c:v>148322153322.34479</c:v>
                </c:pt>
                <c:pt idx="17">
                  <c:v>149940506938.14749</c:v>
                </c:pt>
                <c:pt idx="18">
                  <c:v>151607411162.42429</c:v>
                </c:pt>
                <c:pt idx="19">
                  <c:v>153324322513.42938</c:v>
                </c:pt>
                <c:pt idx="20">
                  <c:v>155092741204.9646</c:v>
                </c:pt>
                <c:pt idx="21">
                  <c:v>156914212457.24591</c:v>
                </c:pt>
                <c:pt idx="22">
                  <c:v>158790327847.09564</c:v>
                </c:pt>
                <c:pt idx="23">
                  <c:v>160722726698.64087</c:v>
                </c:pt>
                <c:pt idx="24">
                  <c:v>162713097515.73245</c:v>
                </c:pt>
              </c:numCache>
            </c:numRef>
          </c:val>
        </c:ser>
        <c:ser>
          <c:idx val="0"/>
          <c:order val="3"/>
          <c:tx>
            <c:v>Spending</c:v>
          </c:tx>
          <c:spPr>
            <a:solidFill>
              <a:srgbClr val="FF0000"/>
            </a:solidFill>
            <a:ln w="25400">
              <a:noFill/>
            </a:ln>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Calculations'!$C$85:$AA$85</c:f>
              <c:numCache>
                <c:formatCode>"$"#,##0</c:formatCode>
                <c:ptCount val="25"/>
                <c:pt idx="0">
                  <c:v>50130708362.370712</c:v>
                </c:pt>
                <c:pt idx="1">
                  <c:v>45810298562.338905</c:v>
                </c:pt>
                <c:pt idx="2">
                  <c:v>28460491363.558762</c:v>
                </c:pt>
                <c:pt idx="3">
                  <c:v>25010682726.061134</c:v>
                </c:pt>
                <c:pt idx="4">
                  <c:v>20306811423.411617</c:v>
                </c:pt>
                <c:pt idx="5">
                  <c:v>15107751189.974239</c:v>
                </c:pt>
                <c:pt idx="6">
                  <c:v>13772043770.318926</c:v>
                </c:pt>
                <c:pt idx="7">
                  <c:v>13668291978.479477</c:v>
                </c:pt>
                <c:pt idx="8">
                  <c:v>14078340737.83386</c:v>
                </c:pt>
                <c:pt idx="9">
                  <c:v>14500690959.968876</c:v>
                </c:pt>
                <c:pt idx="10">
                  <c:v>14935711688.767944</c:v>
                </c:pt>
                <c:pt idx="11">
                  <c:v>15383783039.430981</c:v>
                </c:pt>
                <c:pt idx="12">
                  <c:v>15845296530.613911</c:v>
                </c:pt>
                <c:pt idx="13">
                  <c:v>16320655426.53233</c:v>
                </c:pt>
                <c:pt idx="14">
                  <c:v>16810275089.3283</c:v>
                </c:pt>
                <c:pt idx="15">
                  <c:v>17314583342.008148</c:v>
                </c:pt>
                <c:pt idx="16">
                  <c:v>17834020842.268394</c:v>
                </c:pt>
                <c:pt idx="17">
                  <c:v>18369041467.536446</c:v>
                </c:pt>
                <c:pt idx="18">
                  <c:v>18920112711.562538</c:v>
                </c:pt>
                <c:pt idx="19">
                  <c:v>19487716092.909416</c:v>
                </c:pt>
                <c:pt idx="20">
                  <c:v>20072347575.696697</c:v>
                </c:pt>
                <c:pt idx="21">
                  <c:v>20674518002.967598</c:v>
                </c:pt>
                <c:pt idx="22">
                  <c:v>21294753543.056625</c:v>
                </c:pt>
                <c:pt idx="23">
                  <c:v>21933596149.348328</c:v>
                </c:pt>
                <c:pt idx="24">
                  <c:v>22591604033.828777</c:v>
                </c:pt>
              </c:numCache>
            </c:numRef>
          </c:val>
        </c:ser>
        <c:dLbls>
          <c:showLegendKey val="0"/>
          <c:showVal val="0"/>
          <c:showCatName val="0"/>
          <c:showSerName val="0"/>
          <c:showPercent val="0"/>
          <c:showBubbleSize val="0"/>
        </c:dLbls>
        <c:axId val="413079424"/>
        <c:axId val="413080960"/>
      </c:areaChart>
      <c:lineChart>
        <c:grouping val="standard"/>
        <c:varyColors val="0"/>
        <c:ser>
          <c:idx val="3"/>
          <c:order val="4"/>
          <c:tx>
            <c:v>Existing Limit</c:v>
          </c:tx>
          <c:spPr>
            <a:ln>
              <a:solidFill>
                <a:schemeClr val="tx1"/>
              </a:solidFill>
            </a:ln>
          </c:spPr>
          <c:marker>
            <c:symbol val="none"/>
          </c:marker>
          <c:val>
            <c:numRef>
              <c:f>'OTDS Tab Calculations'!$C$97:$AA$97</c:f>
              <c:numCache>
                <c:formatCode>"$"#,##0</c:formatCode>
                <c:ptCount val="25"/>
                <c:pt idx="0">
                  <c:v>125135495795.58807</c:v>
                </c:pt>
                <c:pt idx="1">
                  <c:v>131395538795.58807</c:v>
                </c:pt>
                <c:pt idx="2">
                  <c:v>136316061795.58807</c:v>
                </c:pt>
                <c:pt idx="3">
                  <c:v>128273123795.58807</c:v>
                </c:pt>
                <c:pt idx="4">
                  <c:v>129824164795.58807</c:v>
                </c:pt>
                <c:pt idx="5">
                  <c:v>135701684795.58807</c:v>
                </c:pt>
                <c:pt idx="6">
                  <c:v>133145876795.58807</c:v>
                </c:pt>
                <c:pt idx="7">
                  <c:v>135721475795.58807</c:v>
                </c:pt>
                <c:pt idx="8">
                  <c:v>136961809085.58807</c:v>
                </c:pt>
                <c:pt idx="9">
                  <c:v>138239352374.28809</c:v>
                </c:pt>
                <c:pt idx="10">
                  <c:v>139555221961.64908</c:v>
                </c:pt>
                <c:pt idx="11">
                  <c:v>140910567636.63092</c:v>
                </c:pt>
                <c:pt idx="12">
                  <c:v>142306573681.86218</c:v>
                </c:pt>
                <c:pt idx="13">
                  <c:v>143744459908.45041</c:v>
                </c:pt>
                <c:pt idx="14">
                  <c:v>145225482721.8363</c:v>
                </c:pt>
                <c:pt idx="15">
                  <c:v>146750936219.62372</c:v>
                </c:pt>
                <c:pt idx="16">
                  <c:v>148322153322.34479</c:v>
                </c:pt>
                <c:pt idx="17">
                  <c:v>149940506938.14749</c:v>
                </c:pt>
                <c:pt idx="18">
                  <c:v>151607411162.42429</c:v>
                </c:pt>
                <c:pt idx="19">
                  <c:v>153324322513.42938</c:v>
                </c:pt>
                <c:pt idx="20">
                  <c:v>155092741204.9646</c:v>
                </c:pt>
                <c:pt idx="21">
                  <c:v>156914212457.24591</c:v>
                </c:pt>
                <c:pt idx="22">
                  <c:v>158790327847.09564</c:v>
                </c:pt>
                <c:pt idx="23">
                  <c:v>160722726698.64087</c:v>
                </c:pt>
                <c:pt idx="24">
                  <c:v>162713097515.73245</c:v>
                </c:pt>
              </c:numCache>
            </c:numRef>
          </c:val>
          <c:smooth val="0"/>
        </c:ser>
        <c:ser>
          <c:idx val="2"/>
          <c:order val="5"/>
          <c:tx>
            <c:v>OTDS</c:v>
          </c:tx>
          <c:spPr>
            <a:ln>
              <a:solidFill>
                <a:srgbClr val="FFFF00"/>
              </a:solidFill>
              <a:prstDash val="dash"/>
            </a:ln>
          </c:spPr>
          <c:marker>
            <c:symbol val="none"/>
          </c:marker>
          <c:val>
            <c:numRef>
              <c:f>'OTDS Tab Calculations'!$C$72:$AA$72</c:f>
              <c:numCache>
                <c:formatCode>"$"#,##0</c:formatCode>
                <c:ptCount val="25"/>
                <c:pt idx="0">
                  <c:v>125135495795.58807</c:v>
                </c:pt>
                <c:pt idx="1">
                  <c:v>131395538795.58807</c:v>
                </c:pt>
                <c:pt idx="2">
                  <c:v>136316061795.58807</c:v>
                </c:pt>
                <c:pt idx="3">
                  <c:v>128273123795.58807</c:v>
                </c:pt>
                <c:pt idx="4">
                  <c:v>129824164795.58807</c:v>
                </c:pt>
                <c:pt idx="5">
                  <c:v>135701684795.58807</c:v>
                </c:pt>
                <c:pt idx="6">
                  <c:v>133145876795.58807</c:v>
                </c:pt>
                <c:pt idx="7">
                  <c:v>135721475795.58807</c:v>
                </c:pt>
                <c:pt idx="8">
                  <c:v>136961809085.58807</c:v>
                </c:pt>
                <c:pt idx="9">
                  <c:v>138239352374.28809</c:v>
                </c:pt>
                <c:pt idx="10">
                  <c:v>139555221961.64908</c:v>
                </c:pt>
                <c:pt idx="11">
                  <c:v>140910567636.63092</c:v>
                </c:pt>
                <c:pt idx="12">
                  <c:v>142306573681.86218</c:v>
                </c:pt>
                <c:pt idx="13">
                  <c:v>143744459908.45041</c:v>
                </c:pt>
                <c:pt idx="14">
                  <c:v>145225482721.8363</c:v>
                </c:pt>
                <c:pt idx="15">
                  <c:v>146750936219.62372</c:v>
                </c:pt>
                <c:pt idx="16">
                  <c:v>148322153322.34479</c:v>
                </c:pt>
                <c:pt idx="17">
                  <c:v>149940506938.14749</c:v>
                </c:pt>
                <c:pt idx="18">
                  <c:v>151607411162.42429</c:v>
                </c:pt>
                <c:pt idx="19">
                  <c:v>153324322513.42938</c:v>
                </c:pt>
                <c:pt idx="20">
                  <c:v>155092741204.9646</c:v>
                </c:pt>
                <c:pt idx="21">
                  <c:v>156914212457.24591</c:v>
                </c:pt>
                <c:pt idx="22">
                  <c:v>158790327847.09564</c:v>
                </c:pt>
                <c:pt idx="23">
                  <c:v>160722726698.64087</c:v>
                </c:pt>
                <c:pt idx="24">
                  <c:v>162713097515.73245</c:v>
                </c:pt>
              </c:numCache>
            </c:numRef>
          </c:val>
          <c:smooth val="0"/>
        </c:ser>
        <c:dLbls>
          <c:showLegendKey val="0"/>
          <c:showVal val="0"/>
          <c:showCatName val="0"/>
          <c:showSerName val="0"/>
          <c:showPercent val="0"/>
          <c:showBubbleSize val="0"/>
        </c:dLbls>
        <c:marker val="1"/>
        <c:smooth val="0"/>
        <c:axId val="413079424"/>
        <c:axId val="413080960"/>
      </c:lineChart>
      <c:catAx>
        <c:axId val="413079424"/>
        <c:scaling>
          <c:orientation val="minMax"/>
        </c:scaling>
        <c:delete val="0"/>
        <c:axPos val="b"/>
        <c:numFmt formatCode="General" sourceLinked="1"/>
        <c:majorTickMark val="out"/>
        <c:minorTickMark val="none"/>
        <c:tickLblPos val="nextTo"/>
        <c:crossAx val="413080960"/>
        <c:crosses val="autoZero"/>
        <c:auto val="1"/>
        <c:lblAlgn val="ctr"/>
        <c:lblOffset val="100"/>
        <c:noMultiLvlLbl val="0"/>
      </c:catAx>
      <c:valAx>
        <c:axId val="413080960"/>
        <c:scaling>
          <c:orientation val="minMax"/>
        </c:scaling>
        <c:delete val="0"/>
        <c:axPos val="l"/>
        <c:numFmt formatCode="&quot;$&quot;#,##0" sourceLinked="1"/>
        <c:majorTickMark val="out"/>
        <c:minorTickMark val="none"/>
        <c:tickLblPos val="nextTo"/>
        <c:crossAx val="413079424"/>
        <c:crossesAt val="1"/>
        <c:crossBetween val="between"/>
        <c:dispUnits>
          <c:builtInUnit val="billions"/>
          <c:dispUnitsLbl>
            <c:layout>
              <c:manualLayout>
                <c:xMode val="edge"/>
                <c:yMode val="edge"/>
                <c:x val="5.3057742782152235E-3"/>
                <c:y val="0.30603018372703411"/>
              </c:manualLayout>
            </c:layout>
          </c:dispUnitsLbl>
        </c:dispUnits>
      </c:valAx>
    </c:plotArea>
    <c:legend>
      <c:legendPos val="r"/>
      <c:legendEntry>
        <c:idx val="0"/>
        <c:delete val="1"/>
      </c:legendEntry>
      <c:legendEntry>
        <c:idx val="2"/>
        <c:delete val="1"/>
      </c:legendEntry>
      <c:layout>
        <c:manualLayout>
          <c:xMode val="edge"/>
          <c:yMode val="edge"/>
          <c:x val="0.17198437636379507"/>
          <c:y val="0.79128280839895015"/>
          <c:w val="0.70921445404556172"/>
          <c:h val="0.14390237678623505"/>
        </c:manualLayout>
      </c:layout>
      <c:overlay val="0"/>
      <c:spPr>
        <a:solidFill>
          <a:schemeClr val="bg1">
            <a:lumMod val="85000"/>
          </a:schemeClr>
        </a:solidFill>
        <a:ln>
          <a:solidFill>
            <a:sysClr val="windowText" lastClr="000000"/>
          </a:solidFill>
        </a:ln>
      </c:spPr>
    </c:legend>
    <c:plotVisOnly val="1"/>
    <c:dispBlanksAs val="zero"/>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Japan</a:t>
            </a:r>
          </a:p>
        </c:rich>
      </c:tx>
      <c:layout/>
      <c:overlay val="1"/>
    </c:title>
    <c:autoTitleDeleted val="0"/>
    <c:plotArea>
      <c:layout>
        <c:manualLayout>
          <c:layoutTarget val="inner"/>
          <c:xMode val="edge"/>
          <c:yMode val="edge"/>
          <c:x val="0.13619706911636045"/>
          <c:y val="5.1400554097404488E-2"/>
          <c:w val="0.83299650043744533"/>
          <c:h val="0.63319845435987165"/>
        </c:manualLayout>
      </c:layout>
      <c:areaChart>
        <c:grouping val="standard"/>
        <c:varyColors val="0"/>
        <c:ser>
          <c:idx val="4"/>
          <c:order val="0"/>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Calculations'!$C$100:$AA$100</c:f>
              <c:numCache>
                <c:formatCode>"$"#,##0</c:formatCode>
                <c:ptCount val="25"/>
                <c:pt idx="0">
                  <c:v>46384205111.95343</c:v>
                </c:pt>
                <c:pt idx="1">
                  <c:v>46139829111.95343</c:v>
                </c:pt>
                <c:pt idx="2">
                  <c:v>46988349111.95343</c:v>
                </c:pt>
                <c:pt idx="3">
                  <c:v>47470963111.95343</c:v>
                </c:pt>
                <c:pt idx="4">
                  <c:v>48067160111.95343</c:v>
                </c:pt>
                <c:pt idx="5">
                  <c:v>48491804111.95343</c:v>
                </c:pt>
                <c:pt idx="6">
                  <c:v>48991799111.95343</c:v>
                </c:pt>
                <c:pt idx="7">
                  <c:v>47412534111.95343</c:v>
                </c:pt>
                <c:pt idx="8">
                  <c:v>47625976401.95343</c:v>
                </c:pt>
                <c:pt idx="9">
                  <c:v>47845821960.653427</c:v>
                </c:pt>
                <c:pt idx="10">
                  <c:v>48072262886.114433</c:v>
                </c:pt>
                <c:pt idx="11">
                  <c:v>48305497039.339264</c:v>
                </c:pt>
                <c:pt idx="12">
                  <c:v>48545728217.160835</c:v>
                </c:pt>
                <c:pt idx="13">
                  <c:v>48793166330.317062</c:v>
                </c:pt>
                <c:pt idx="14">
                  <c:v>49048027586.867966</c:v>
                </c:pt>
                <c:pt idx="15">
                  <c:v>49310534681.115402</c:v>
                </c:pt>
                <c:pt idx="16">
                  <c:v>49580916988.190262</c:v>
                </c:pt>
                <c:pt idx="17">
                  <c:v>49859410764.477371</c:v>
                </c:pt>
                <c:pt idx="18">
                  <c:v>50146259354.053085</c:v>
                </c:pt>
                <c:pt idx="19">
                  <c:v>50441713401.316078</c:v>
                </c:pt>
                <c:pt idx="20">
                  <c:v>50746031069.996956</c:v>
                </c:pt>
                <c:pt idx="21">
                  <c:v>51059478268.738266</c:v>
                </c:pt>
                <c:pt idx="22">
                  <c:v>51382328883.441803</c:v>
                </c:pt>
                <c:pt idx="23">
                  <c:v>51714865016.586456</c:v>
                </c:pt>
                <c:pt idx="24">
                  <c:v>52057377233.725449</c:v>
                </c:pt>
              </c:numCache>
            </c:numRef>
          </c:val>
        </c:ser>
        <c:ser>
          <c:idx val="5"/>
          <c:order val="1"/>
          <c:tx>
            <c:v>Water Cut</c:v>
          </c:tx>
          <c:spPr>
            <a:solidFill>
              <a:srgbClr val="FF0000">
                <a:alpha val="43000"/>
              </a:srgbClr>
            </a:solid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Calculations'!$C$100:$AA$100</c:f>
              <c:numCache>
                <c:formatCode>"$"#,##0</c:formatCode>
                <c:ptCount val="25"/>
                <c:pt idx="0">
                  <c:v>46384205111.95343</c:v>
                </c:pt>
                <c:pt idx="1">
                  <c:v>46139829111.95343</c:v>
                </c:pt>
                <c:pt idx="2">
                  <c:v>46988349111.95343</c:v>
                </c:pt>
                <c:pt idx="3">
                  <c:v>47470963111.95343</c:v>
                </c:pt>
                <c:pt idx="4">
                  <c:v>48067160111.95343</c:v>
                </c:pt>
                <c:pt idx="5">
                  <c:v>48491804111.95343</c:v>
                </c:pt>
                <c:pt idx="6">
                  <c:v>48991799111.95343</c:v>
                </c:pt>
                <c:pt idx="7">
                  <c:v>47412534111.95343</c:v>
                </c:pt>
                <c:pt idx="8">
                  <c:v>47625976401.95343</c:v>
                </c:pt>
                <c:pt idx="9">
                  <c:v>47845821960.653427</c:v>
                </c:pt>
                <c:pt idx="10">
                  <c:v>48072262886.114433</c:v>
                </c:pt>
                <c:pt idx="11">
                  <c:v>48305497039.339264</c:v>
                </c:pt>
                <c:pt idx="12">
                  <c:v>48545728217.160835</c:v>
                </c:pt>
                <c:pt idx="13">
                  <c:v>48793166330.317062</c:v>
                </c:pt>
                <c:pt idx="14">
                  <c:v>49048027586.867966</c:v>
                </c:pt>
                <c:pt idx="15">
                  <c:v>49310534681.115402</c:v>
                </c:pt>
                <c:pt idx="16">
                  <c:v>49580916988.190262</c:v>
                </c:pt>
                <c:pt idx="17">
                  <c:v>49859410764.477371</c:v>
                </c:pt>
                <c:pt idx="18">
                  <c:v>50146259354.053085</c:v>
                </c:pt>
                <c:pt idx="19">
                  <c:v>50441713401.316078</c:v>
                </c:pt>
                <c:pt idx="20">
                  <c:v>50746031069.996956</c:v>
                </c:pt>
                <c:pt idx="21">
                  <c:v>51059478268.738266</c:v>
                </c:pt>
                <c:pt idx="22">
                  <c:v>51382328883.441803</c:v>
                </c:pt>
                <c:pt idx="23">
                  <c:v>51714865016.586456</c:v>
                </c:pt>
                <c:pt idx="24">
                  <c:v>52057377233.725449</c:v>
                </c:pt>
              </c:numCache>
            </c:numRef>
          </c:val>
        </c:ser>
        <c:ser>
          <c:idx val="1"/>
          <c:order val="2"/>
          <c:tx>
            <c:v>OTDS</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Calculations'!$B$266:$Z$266</c:f>
              <c:numCache>
                <c:formatCode>_("$"* #,##0.00_);_("$"* \(#,##0.00\);_("$"* "-"??_);_(@_)</c:formatCode>
                <c:ptCount val="25"/>
                <c:pt idx="0">
                  <c:v>46384205111.95343</c:v>
                </c:pt>
                <c:pt idx="1">
                  <c:v>46139829111.95343</c:v>
                </c:pt>
                <c:pt idx="2">
                  <c:v>46988349111.95343</c:v>
                </c:pt>
                <c:pt idx="3">
                  <c:v>47470963111.95343</c:v>
                </c:pt>
                <c:pt idx="4">
                  <c:v>48067160111.95343</c:v>
                </c:pt>
                <c:pt idx="5">
                  <c:v>48491804111.95343</c:v>
                </c:pt>
                <c:pt idx="6">
                  <c:v>48991799111.95343</c:v>
                </c:pt>
                <c:pt idx="7">
                  <c:v>47412534111.95343</c:v>
                </c:pt>
                <c:pt idx="8">
                  <c:v>47625976401.95343</c:v>
                </c:pt>
                <c:pt idx="9">
                  <c:v>47845821960.653427</c:v>
                </c:pt>
                <c:pt idx="10">
                  <c:v>48072262886.114433</c:v>
                </c:pt>
                <c:pt idx="11">
                  <c:v>48305497039.339264</c:v>
                </c:pt>
                <c:pt idx="12">
                  <c:v>48545728217.160835</c:v>
                </c:pt>
                <c:pt idx="13">
                  <c:v>48793166330.317062</c:v>
                </c:pt>
                <c:pt idx="14">
                  <c:v>49048027586.867966</c:v>
                </c:pt>
                <c:pt idx="15">
                  <c:v>49310534681.115402</c:v>
                </c:pt>
                <c:pt idx="16">
                  <c:v>49580916988.190262</c:v>
                </c:pt>
                <c:pt idx="17">
                  <c:v>49859410764.477371</c:v>
                </c:pt>
                <c:pt idx="18">
                  <c:v>50146259354.053085</c:v>
                </c:pt>
                <c:pt idx="19">
                  <c:v>50441713401.316078</c:v>
                </c:pt>
                <c:pt idx="20">
                  <c:v>50746031069.996956</c:v>
                </c:pt>
                <c:pt idx="21">
                  <c:v>51059478268.738266</c:v>
                </c:pt>
                <c:pt idx="22">
                  <c:v>51382328883.441803</c:v>
                </c:pt>
                <c:pt idx="23">
                  <c:v>51714865016.586456</c:v>
                </c:pt>
                <c:pt idx="24">
                  <c:v>52057377233.725449</c:v>
                </c:pt>
              </c:numCache>
            </c:numRef>
          </c:val>
        </c:ser>
        <c:ser>
          <c:idx val="0"/>
          <c:order val="3"/>
          <c:tx>
            <c:v>Spending</c:v>
          </c:tx>
          <c:spPr>
            <a:solidFill>
              <a:srgbClr val="FF0000"/>
            </a:solidFill>
            <a:ln w="25400">
              <a:noFill/>
            </a:ln>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Calculations'!$C$88:$AA$88</c:f>
              <c:numCache>
                <c:formatCode>"$"#,##0</c:formatCode>
                <c:ptCount val="25"/>
                <c:pt idx="0">
                  <c:v>5739896352.0922861</c:v>
                </c:pt>
                <c:pt idx="1">
                  <c:v>4568140161.8981361</c:v>
                </c:pt>
                <c:pt idx="2">
                  <c:v>6331214356.9986429</c:v>
                </c:pt>
                <c:pt idx="3">
                  <c:v>7440396417.4832811</c:v>
                </c:pt>
                <c:pt idx="4">
                  <c:v>10274319661.257708</c:v>
                </c:pt>
                <c:pt idx="5">
                  <c:v>10043463289.299847</c:v>
                </c:pt>
                <c:pt idx="6">
                  <c:v>10617130231.302521</c:v>
                </c:pt>
                <c:pt idx="7">
                  <c:v>10935644138.241596</c:v>
                </c:pt>
                <c:pt idx="8">
                  <c:v>11263713462.388845</c:v>
                </c:pt>
                <c:pt idx="9">
                  <c:v>11601624866.260511</c:v>
                </c:pt>
                <c:pt idx="10">
                  <c:v>11949673612.248325</c:v>
                </c:pt>
                <c:pt idx="11">
                  <c:v>12308163820.615776</c:v>
                </c:pt>
                <c:pt idx="12">
                  <c:v>12677408735.234249</c:v>
                </c:pt>
                <c:pt idx="13">
                  <c:v>13057730997.291277</c:v>
                </c:pt>
                <c:pt idx="14">
                  <c:v>13449462927.210014</c:v>
                </c:pt>
                <c:pt idx="15">
                  <c:v>13852946815.026316</c:v>
                </c:pt>
                <c:pt idx="16">
                  <c:v>14268535219.477104</c:v>
                </c:pt>
                <c:pt idx="17">
                  <c:v>14696591276.061417</c:v>
                </c:pt>
                <c:pt idx="18">
                  <c:v>15137489014.34326</c:v>
                </c:pt>
                <c:pt idx="19">
                  <c:v>15591613684.773558</c:v>
                </c:pt>
                <c:pt idx="20">
                  <c:v>16059362095.316765</c:v>
                </c:pt>
                <c:pt idx="21">
                  <c:v>16541142958.176266</c:v>
                </c:pt>
                <c:pt idx="22">
                  <c:v>17037377246.921555</c:v>
                </c:pt>
                <c:pt idx="23">
                  <c:v>17548498564.329201</c:v>
                </c:pt>
                <c:pt idx="24">
                  <c:v>18074953521.259075</c:v>
                </c:pt>
              </c:numCache>
            </c:numRef>
          </c:val>
        </c:ser>
        <c:dLbls>
          <c:showLegendKey val="0"/>
          <c:showVal val="0"/>
          <c:showCatName val="0"/>
          <c:showSerName val="0"/>
          <c:showPercent val="0"/>
          <c:showBubbleSize val="0"/>
        </c:dLbls>
        <c:axId val="413136000"/>
        <c:axId val="413137536"/>
      </c:areaChart>
      <c:lineChart>
        <c:grouping val="standard"/>
        <c:varyColors val="0"/>
        <c:ser>
          <c:idx val="3"/>
          <c:order val="4"/>
          <c:tx>
            <c:v>Existing Limit</c:v>
          </c:tx>
          <c:spPr>
            <a:ln>
              <a:solidFill>
                <a:schemeClr val="tx1"/>
              </a:solidFill>
            </a:ln>
          </c:spPr>
          <c:marker>
            <c:symbol val="none"/>
          </c:marker>
          <c:val>
            <c:numRef>
              <c:f>'OTDS Tab Calculations'!$C$100:$AA$100</c:f>
              <c:numCache>
                <c:formatCode>"$"#,##0</c:formatCode>
                <c:ptCount val="25"/>
                <c:pt idx="0">
                  <c:v>46384205111.95343</c:v>
                </c:pt>
                <c:pt idx="1">
                  <c:v>46139829111.95343</c:v>
                </c:pt>
                <c:pt idx="2">
                  <c:v>46988349111.95343</c:v>
                </c:pt>
                <c:pt idx="3">
                  <c:v>47470963111.95343</c:v>
                </c:pt>
                <c:pt idx="4">
                  <c:v>48067160111.95343</c:v>
                </c:pt>
                <c:pt idx="5">
                  <c:v>48491804111.95343</c:v>
                </c:pt>
                <c:pt idx="6">
                  <c:v>48991799111.95343</c:v>
                </c:pt>
                <c:pt idx="7">
                  <c:v>47412534111.95343</c:v>
                </c:pt>
                <c:pt idx="8">
                  <c:v>47625976401.95343</c:v>
                </c:pt>
                <c:pt idx="9">
                  <c:v>47845821960.653427</c:v>
                </c:pt>
                <c:pt idx="10">
                  <c:v>48072262886.114433</c:v>
                </c:pt>
                <c:pt idx="11">
                  <c:v>48305497039.339264</c:v>
                </c:pt>
                <c:pt idx="12">
                  <c:v>48545728217.160835</c:v>
                </c:pt>
                <c:pt idx="13">
                  <c:v>48793166330.317062</c:v>
                </c:pt>
                <c:pt idx="14">
                  <c:v>49048027586.867966</c:v>
                </c:pt>
                <c:pt idx="15">
                  <c:v>49310534681.115402</c:v>
                </c:pt>
                <c:pt idx="16">
                  <c:v>49580916988.190262</c:v>
                </c:pt>
                <c:pt idx="17">
                  <c:v>49859410764.477371</c:v>
                </c:pt>
                <c:pt idx="18">
                  <c:v>50146259354.053085</c:v>
                </c:pt>
                <c:pt idx="19">
                  <c:v>50441713401.316078</c:v>
                </c:pt>
                <c:pt idx="20">
                  <c:v>50746031069.996956</c:v>
                </c:pt>
                <c:pt idx="21">
                  <c:v>51059478268.738266</c:v>
                </c:pt>
                <c:pt idx="22">
                  <c:v>51382328883.441803</c:v>
                </c:pt>
                <c:pt idx="23">
                  <c:v>51714865016.586456</c:v>
                </c:pt>
                <c:pt idx="24">
                  <c:v>52057377233.725449</c:v>
                </c:pt>
              </c:numCache>
            </c:numRef>
          </c:val>
          <c:smooth val="0"/>
        </c:ser>
        <c:ser>
          <c:idx val="2"/>
          <c:order val="5"/>
          <c:tx>
            <c:v>OTDS</c:v>
          </c:tx>
          <c:spPr>
            <a:ln>
              <a:solidFill>
                <a:srgbClr val="FFFF00"/>
              </a:solidFill>
              <a:prstDash val="dash"/>
            </a:ln>
          </c:spPr>
          <c:marker>
            <c:symbol val="none"/>
          </c:marker>
          <c:val>
            <c:numRef>
              <c:f>'OTDS Tab Calculations'!$C$75:$AA$75</c:f>
              <c:numCache>
                <c:formatCode>"$"#,##0</c:formatCode>
                <c:ptCount val="25"/>
                <c:pt idx="0">
                  <c:v>46384205111.95343</c:v>
                </c:pt>
                <c:pt idx="1">
                  <c:v>46139829111.95343</c:v>
                </c:pt>
                <c:pt idx="2">
                  <c:v>46988349111.95343</c:v>
                </c:pt>
                <c:pt idx="3">
                  <c:v>47470963111.95343</c:v>
                </c:pt>
                <c:pt idx="4">
                  <c:v>48067160111.95343</c:v>
                </c:pt>
                <c:pt idx="5">
                  <c:v>48491804111.95343</c:v>
                </c:pt>
                <c:pt idx="6">
                  <c:v>48991799111.95343</c:v>
                </c:pt>
                <c:pt idx="7">
                  <c:v>47412534111.95343</c:v>
                </c:pt>
                <c:pt idx="8">
                  <c:v>47625976401.95343</c:v>
                </c:pt>
                <c:pt idx="9">
                  <c:v>47845821960.653427</c:v>
                </c:pt>
                <c:pt idx="10">
                  <c:v>48072262886.114433</c:v>
                </c:pt>
                <c:pt idx="11">
                  <c:v>48305497039.339264</c:v>
                </c:pt>
                <c:pt idx="12">
                  <c:v>48545728217.160835</c:v>
                </c:pt>
                <c:pt idx="13">
                  <c:v>48793166330.317062</c:v>
                </c:pt>
                <c:pt idx="14">
                  <c:v>49048027586.867966</c:v>
                </c:pt>
                <c:pt idx="15">
                  <c:v>49310534681.115402</c:v>
                </c:pt>
                <c:pt idx="16">
                  <c:v>49580916988.190262</c:v>
                </c:pt>
                <c:pt idx="17">
                  <c:v>49859410764.477371</c:v>
                </c:pt>
                <c:pt idx="18">
                  <c:v>50146259354.053085</c:v>
                </c:pt>
                <c:pt idx="19">
                  <c:v>50441713401.316078</c:v>
                </c:pt>
                <c:pt idx="20">
                  <c:v>50746031069.996956</c:v>
                </c:pt>
                <c:pt idx="21">
                  <c:v>51059478268.738266</c:v>
                </c:pt>
                <c:pt idx="22">
                  <c:v>51382328883.441803</c:v>
                </c:pt>
                <c:pt idx="23">
                  <c:v>51714865016.586456</c:v>
                </c:pt>
                <c:pt idx="24">
                  <c:v>52057377233.725449</c:v>
                </c:pt>
              </c:numCache>
            </c:numRef>
          </c:val>
          <c:smooth val="0"/>
        </c:ser>
        <c:dLbls>
          <c:showLegendKey val="0"/>
          <c:showVal val="0"/>
          <c:showCatName val="0"/>
          <c:showSerName val="0"/>
          <c:showPercent val="0"/>
          <c:showBubbleSize val="0"/>
        </c:dLbls>
        <c:marker val="1"/>
        <c:smooth val="0"/>
        <c:axId val="413136000"/>
        <c:axId val="413137536"/>
      </c:lineChart>
      <c:catAx>
        <c:axId val="413136000"/>
        <c:scaling>
          <c:orientation val="minMax"/>
        </c:scaling>
        <c:delete val="0"/>
        <c:axPos val="b"/>
        <c:numFmt formatCode="General" sourceLinked="1"/>
        <c:majorTickMark val="out"/>
        <c:minorTickMark val="none"/>
        <c:tickLblPos val="nextTo"/>
        <c:crossAx val="413137536"/>
        <c:crosses val="autoZero"/>
        <c:auto val="1"/>
        <c:lblAlgn val="ctr"/>
        <c:lblOffset val="100"/>
        <c:noMultiLvlLbl val="0"/>
      </c:catAx>
      <c:valAx>
        <c:axId val="413137536"/>
        <c:scaling>
          <c:orientation val="minMax"/>
        </c:scaling>
        <c:delete val="0"/>
        <c:axPos val="l"/>
        <c:numFmt formatCode="&quot;$&quot;#,##0" sourceLinked="1"/>
        <c:majorTickMark val="out"/>
        <c:minorTickMark val="none"/>
        <c:tickLblPos val="nextTo"/>
        <c:crossAx val="413136000"/>
        <c:crossesAt val="1"/>
        <c:crossBetween val="between"/>
        <c:dispUnits>
          <c:builtInUnit val="billions"/>
          <c:dispUnitsLbl>
            <c:layout>
              <c:manualLayout>
                <c:xMode val="edge"/>
                <c:yMode val="edge"/>
                <c:x val="5.3057742782152235E-3"/>
                <c:y val="0.30603018372703411"/>
              </c:manualLayout>
            </c:layout>
          </c:dispUnitsLbl>
        </c:dispUnits>
      </c:valAx>
    </c:plotArea>
    <c:legend>
      <c:legendPos val="r"/>
      <c:legendEntry>
        <c:idx val="0"/>
        <c:delete val="1"/>
      </c:legendEntry>
      <c:legendEntry>
        <c:idx val="2"/>
        <c:delete val="1"/>
      </c:legendEntry>
      <c:layout>
        <c:manualLayout>
          <c:xMode val="edge"/>
          <c:yMode val="edge"/>
          <c:x val="0.18306930260975823"/>
          <c:y val="0.79128280839895015"/>
          <c:w val="0.70921445404556172"/>
          <c:h val="0.16242089530475357"/>
        </c:manualLayout>
      </c:layout>
      <c:overlay val="0"/>
      <c:spPr>
        <a:solidFill>
          <a:schemeClr val="bg1">
            <a:lumMod val="85000"/>
          </a:schemeClr>
        </a:solidFill>
        <a:ln>
          <a:solidFill>
            <a:sysClr val="windowText" lastClr="000000"/>
          </a:solidFill>
        </a:ln>
      </c:spPr>
    </c:legend>
    <c:plotVisOnly val="1"/>
    <c:dispBlanksAs val="zero"/>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Brazil</a:t>
            </a:r>
          </a:p>
        </c:rich>
      </c:tx>
      <c:layout/>
      <c:overlay val="1"/>
    </c:title>
    <c:autoTitleDeleted val="0"/>
    <c:plotArea>
      <c:layout>
        <c:manualLayout>
          <c:layoutTarget val="inner"/>
          <c:xMode val="edge"/>
          <c:yMode val="edge"/>
          <c:x val="0.13619706911636045"/>
          <c:y val="5.1400554097404488E-2"/>
          <c:w val="0.83299650043744533"/>
          <c:h val="0.63319845435987165"/>
        </c:manualLayout>
      </c:layout>
      <c:areaChart>
        <c:grouping val="standard"/>
        <c:varyColors val="0"/>
        <c:ser>
          <c:idx val="4"/>
          <c:order val="0"/>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Calculations'!$C$94:$AA$94</c:f>
              <c:numCache>
                <c:formatCode>"$"#,##0</c:formatCode>
                <c:ptCount val="25"/>
                <c:pt idx="0">
                  <c:v>16341193150</c:v>
                </c:pt>
                <c:pt idx="1">
                  <c:v>22710165150</c:v>
                </c:pt>
                <c:pt idx="2">
                  <c:v>30060091150</c:v>
                </c:pt>
                <c:pt idx="3">
                  <c:v>27610459150</c:v>
                </c:pt>
                <c:pt idx="4">
                  <c:v>33421571150</c:v>
                </c:pt>
                <c:pt idx="5">
                  <c:v>42755149150</c:v>
                </c:pt>
                <c:pt idx="6">
                  <c:v>41364295150</c:v>
                </c:pt>
                <c:pt idx="7">
                  <c:v>44792417150</c:v>
                </c:pt>
                <c:pt idx="8">
                  <c:v>46108826510</c:v>
                </c:pt>
                <c:pt idx="9">
                  <c:v>47464728150.800003</c:v>
                </c:pt>
                <c:pt idx="10">
                  <c:v>48861306840.824005</c:v>
                </c:pt>
                <c:pt idx="11">
                  <c:v>50299782891.548721</c:v>
                </c:pt>
                <c:pt idx="12">
                  <c:v>51781413223.795181</c:v>
                </c:pt>
                <c:pt idx="13">
                  <c:v>53307492466.009033</c:v>
                </c:pt>
                <c:pt idx="14">
                  <c:v>54879354085.489311</c:v>
                </c:pt>
                <c:pt idx="15">
                  <c:v>56498371553.553993</c:v>
                </c:pt>
                <c:pt idx="16">
                  <c:v>58165959545.660614</c:v>
                </c:pt>
                <c:pt idx="17">
                  <c:v>59883575177.530426</c:v>
                </c:pt>
                <c:pt idx="18">
                  <c:v>61652719278.356339</c:v>
                </c:pt>
                <c:pt idx="19">
                  <c:v>63474937702.207031</c:v>
                </c:pt>
                <c:pt idx="20">
                  <c:v>65351822678.773247</c:v>
                </c:pt>
                <c:pt idx="21">
                  <c:v>67285014204.636444</c:v>
                </c:pt>
                <c:pt idx="22">
                  <c:v>69276201476.275543</c:v>
                </c:pt>
                <c:pt idx="23">
                  <c:v>71327124366.063812</c:v>
                </c:pt>
                <c:pt idx="24">
                  <c:v>73439574942.545715</c:v>
                </c:pt>
              </c:numCache>
            </c:numRef>
          </c:val>
        </c:ser>
        <c:ser>
          <c:idx val="5"/>
          <c:order val="1"/>
          <c:tx>
            <c:v>Water Cut</c:v>
          </c:tx>
          <c:spPr>
            <a:solidFill>
              <a:srgbClr val="FF0000">
                <a:alpha val="43000"/>
              </a:srgbClr>
            </a:solid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Calculations'!$C$94:$AA$94</c:f>
              <c:numCache>
                <c:formatCode>"$"#,##0</c:formatCode>
                <c:ptCount val="25"/>
                <c:pt idx="0">
                  <c:v>16341193150</c:v>
                </c:pt>
                <c:pt idx="1">
                  <c:v>22710165150</c:v>
                </c:pt>
                <c:pt idx="2">
                  <c:v>30060091150</c:v>
                </c:pt>
                <c:pt idx="3">
                  <c:v>27610459150</c:v>
                </c:pt>
                <c:pt idx="4">
                  <c:v>33421571150</c:v>
                </c:pt>
                <c:pt idx="5">
                  <c:v>42755149150</c:v>
                </c:pt>
                <c:pt idx="6">
                  <c:v>41364295150</c:v>
                </c:pt>
                <c:pt idx="7">
                  <c:v>44792417150</c:v>
                </c:pt>
                <c:pt idx="8">
                  <c:v>46108826510</c:v>
                </c:pt>
                <c:pt idx="9">
                  <c:v>47464728150.800003</c:v>
                </c:pt>
                <c:pt idx="10">
                  <c:v>48861306840.824005</c:v>
                </c:pt>
                <c:pt idx="11">
                  <c:v>50299782891.548721</c:v>
                </c:pt>
                <c:pt idx="12">
                  <c:v>51781413223.795181</c:v>
                </c:pt>
                <c:pt idx="13">
                  <c:v>53307492466.009033</c:v>
                </c:pt>
                <c:pt idx="14">
                  <c:v>54879354085.489311</c:v>
                </c:pt>
                <c:pt idx="15">
                  <c:v>56498371553.553993</c:v>
                </c:pt>
                <c:pt idx="16">
                  <c:v>58165959545.660614</c:v>
                </c:pt>
                <c:pt idx="17">
                  <c:v>59883575177.530426</c:v>
                </c:pt>
                <c:pt idx="18">
                  <c:v>61652719278.356339</c:v>
                </c:pt>
                <c:pt idx="19">
                  <c:v>63474937702.207031</c:v>
                </c:pt>
                <c:pt idx="20">
                  <c:v>65351822678.773247</c:v>
                </c:pt>
                <c:pt idx="21">
                  <c:v>67285014204.636444</c:v>
                </c:pt>
                <c:pt idx="22">
                  <c:v>69276201476.275543</c:v>
                </c:pt>
                <c:pt idx="23">
                  <c:v>71327124366.063812</c:v>
                </c:pt>
                <c:pt idx="24">
                  <c:v>73439574942.545715</c:v>
                </c:pt>
              </c:numCache>
            </c:numRef>
          </c:val>
        </c:ser>
        <c:ser>
          <c:idx val="1"/>
          <c:order val="2"/>
          <c:tx>
            <c:v>OTDS</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Calculations'!$B$260:$Z$260</c:f>
              <c:numCache>
                <c:formatCode>_("$"* #,##0.00_);_("$"* \(#,##0.00\);_("$"* "-"??_);_(@_)</c:formatCode>
                <c:ptCount val="25"/>
                <c:pt idx="0">
                  <c:v>16341193150</c:v>
                </c:pt>
                <c:pt idx="1">
                  <c:v>22710165150</c:v>
                </c:pt>
                <c:pt idx="2">
                  <c:v>30060091150</c:v>
                </c:pt>
                <c:pt idx="3">
                  <c:v>27610459150</c:v>
                </c:pt>
                <c:pt idx="4">
                  <c:v>33421571150</c:v>
                </c:pt>
                <c:pt idx="5">
                  <c:v>42755149150</c:v>
                </c:pt>
                <c:pt idx="6">
                  <c:v>41364295150</c:v>
                </c:pt>
                <c:pt idx="7">
                  <c:v>44792417150</c:v>
                </c:pt>
                <c:pt idx="8">
                  <c:v>46108826510</c:v>
                </c:pt>
                <c:pt idx="9">
                  <c:v>47464728150.800003</c:v>
                </c:pt>
                <c:pt idx="10">
                  <c:v>48861306840.824005</c:v>
                </c:pt>
                <c:pt idx="11">
                  <c:v>50299782891.548721</c:v>
                </c:pt>
                <c:pt idx="12">
                  <c:v>51781413223.795181</c:v>
                </c:pt>
                <c:pt idx="13">
                  <c:v>53307492466.009033</c:v>
                </c:pt>
                <c:pt idx="14">
                  <c:v>54879354085.489311</c:v>
                </c:pt>
                <c:pt idx="15">
                  <c:v>56498371553.553993</c:v>
                </c:pt>
                <c:pt idx="16">
                  <c:v>58165959545.660614</c:v>
                </c:pt>
                <c:pt idx="17">
                  <c:v>59883575177.530426</c:v>
                </c:pt>
                <c:pt idx="18">
                  <c:v>61652719278.356339</c:v>
                </c:pt>
                <c:pt idx="19">
                  <c:v>63474937702.207031</c:v>
                </c:pt>
                <c:pt idx="20">
                  <c:v>65351822678.773247</c:v>
                </c:pt>
                <c:pt idx="21">
                  <c:v>67285014204.636444</c:v>
                </c:pt>
                <c:pt idx="22">
                  <c:v>69276201476.275543</c:v>
                </c:pt>
                <c:pt idx="23">
                  <c:v>71327124366.063812</c:v>
                </c:pt>
                <c:pt idx="24">
                  <c:v>73439574942.545715</c:v>
                </c:pt>
              </c:numCache>
            </c:numRef>
          </c:val>
        </c:ser>
        <c:ser>
          <c:idx val="0"/>
          <c:order val="3"/>
          <c:tx>
            <c:v>Spending</c:v>
          </c:tx>
          <c:spPr>
            <a:solidFill>
              <a:srgbClr val="FF0000"/>
            </a:solidFill>
            <a:ln w="25400">
              <a:noFill/>
            </a:ln>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Calculations'!$C$82:$AA$82</c:f>
              <c:numCache>
                <c:formatCode>"$"#,##0</c:formatCode>
                <c:ptCount val="25"/>
                <c:pt idx="0">
                  <c:v>1650548500</c:v>
                </c:pt>
                <c:pt idx="1">
                  <c:v>2248036900</c:v>
                </c:pt>
                <c:pt idx="2">
                  <c:v>2737467000</c:v>
                </c:pt>
                <c:pt idx="3">
                  <c:v>2370739100</c:v>
                </c:pt>
                <c:pt idx="4">
                  <c:v>3455756300</c:v>
                </c:pt>
                <c:pt idx="5">
                  <c:v>3641927300</c:v>
                </c:pt>
                <c:pt idx="6">
                  <c:v>2608584500</c:v>
                </c:pt>
                <c:pt idx="7">
                  <c:v>2430165300</c:v>
                </c:pt>
                <c:pt idx="8">
                  <c:v>2669461700</c:v>
                </c:pt>
                <c:pt idx="9">
                  <c:v>2749545551</c:v>
                </c:pt>
                <c:pt idx="10">
                  <c:v>2832031917.5300002</c:v>
                </c:pt>
                <c:pt idx="11">
                  <c:v>2916992875.0559001</c:v>
                </c:pt>
                <c:pt idx="12">
                  <c:v>3004502661.3075771</c:v>
                </c:pt>
                <c:pt idx="13">
                  <c:v>3094637741.1468043</c:v>
                </c:pt>
                <c:pt idx="14">
                  <c:v>3187476873.3812084</c:v>
                </c:pt>
                <c:pt idx="15">
                  <c:v>3283101179.5826445</c:v>
                </c:pt>
                <c:pt idx="16">
                  <c:v>3381594214.9701238</c:v>
                </c:pt>
                <c:pt idx="17">
                  <c:v>3483042041.4192276</c:v>
                </c:pt>
                <c:pt idx="18">
                  <c:v>3587533302.6618042</c:v>
                </c:pt>
                <c:pt idx="19">
                  <c:v>3695159301.7416582</c:v>
                </c:pt>
                <c:pt idx="20">
                  <c:v>3806014080.7939081</c:v>
                </c:pt>
                <c:pt idx="21">
                  <c:v>3920194503.2177253</c:v>
                </c:pt>
                <c:pt idx="22">
                  <c:v>4037800338.3142571</c:v>
                </c:pt>
                <c:pt idx="23">
                  <c:v>4158934348.463685</c:v>
                </c:pt>
                <c:pt idx="24">
                  <c:v>4283702378.9175954</c:v>
                </c:pt>
              </c:numCache>
            </c:numRef>
          </c:val>
        </c:ser>
        <c:dLbls>
          <c:showLegendKey val="0"/>
          <c:showVal val="0"/>
          <c:showCatName val="0"/>
          <c:showSerName val="0"/>
          <c:showPercent val="0"/>
          <c:showBubbleSize val="0"/>
        </c:dLbls>
        <c:axId val="413004160"/>
        <c:axId val="413005696"/>
      </c:areaChart>
      <c:lineChart>
        <c:grouping val="standard"/>
        <c:varyColors val="0"/>
        <c:ser>
          <c:idx val="3"/>
          <c:order val="4"/>
          <c:tx>
            <c:v>Existing Limit</c:v>
          </c:tx>
          <c:spPr>
            <a:ln>
              <a:solidFill>
                <a:schemeClr val="tx1"/>
              </a:solidFill>
            </a:ln>
          </c:spPr>
          <c:marker>
            <c:symbol val="none"/>
          </c:marker>
          <c:val>
            <c:numRef>
              <c:f>'OTDS Tab Calculations'!$C$94:$AA$94</c:f>
              <c:numCache>
                <c:formatCode>"$"#,##0</c:formatCode>
                <c:ptCount val="25"/>
                <c:pt idx="0">
                  <c:v>16341193150</c:v>
                </c:pt>
                <c:pt idx="1">
                  <c:v>22710165150</c:v>
                </c:pt>
                <c:pt idx="2">
                  <c:v>30060091150</c:v>
                </c:pt>
                <c:pt idx="3">
                  <c:v>27610459150</c:v>
                </c:pt>
                <c:pt idx="4">
                  <c:v>33421571150</c:v>
                </c:pt>
                <c:pt idx="5">
                  <c:v>42755149150</c:v>
                </c:pt>
                <c:pt idx="6">
                  <c:v>41364295150</c:v>
                </c:pt>
                <c:pt idx="7">
                  <c:v>44792417150</c:v>
                </c:pt>
                <c:pt idx="8">
                  <c:v>46108826510</c:v>
                </c:pt>
                <c:pt idx="9">
                  <c:v>47464728150.800003</c:v>
                </c:pt>
                <c:pt idx="10">
                  <c:v>48861306840.824005</c:v>
                </c:pt>
                <c:pt idx="11">
                  <c:v>50299782891.548721</c:v>
                </c:pt>
                <c:pt idx="12">
                  <c:v>51781413223.795181</c:v>
                </c:pt>
                <c:pt idx="13">
                  <c:v>53307492466.009033</c:v>
                </c:pt>
                <c:pt idx="14">
                  <c:v>54879354085.489311</c:v>
                </c:pt>
                <c:pt idx="15">
                  <c:v>56498371553.553993</c:v>
                </c:pt>
                <c:pt idx="16">
                  <c:v>58165959545.660614</c:v>
                </c:pt>
                <c:pt idx="17">
                  <c:v>59883575177.530426</c:v>
                </c:pt>
                <c:pt idx="18">
                  <c:v>61652719278.356339</c:v>
                </c:pt>
                <c:pt idx="19">
                  <c:v>63474937702.207031</c:v>
                </c:pt>
                <c:pt idx="20">
                  <c:v>65351822678.773247</c:v>
                </c:pt>
                <c:pt idx="21">
                  <c:v>67285014204.636444</c:v>
                </c:pt>
                <c:pt idx="22">
                  <c:v>69276201476.275543</c:v>
                </c:pt>
                <c:pt idx="23">
                  <c:v>71327124366.063812</c:v>
                </c:pt>
                <c:pt idx="24">
                  <c:v>73439574942.545715</c:v>
                </c:pt>
              </c:numCache>
            </c:numRef>
          </c:val>
          <c:smooth val="0"/>
        </c:ser>
        <c:ser>
          <c:idx val="2"/>
          <c:order val="5"/>
          <c:tx>
            <c:v>OTDS</c:v>
          </c:tx>
          <c:spPr>
            <a:ln>
              <a:solidFill>
                <a:srgbClr val="FFFF00"/>
              </a:solidFill>
              <a:prstDash val="dash"/>
            </a:ln>
          </c:spPr>
          <c:marker>
            <c:symbol val="none"/>
          </c:marker>
          <c:val>
            <c:numRef>
              <c:f>'OTDS Tab Calculations'!$C$69:$AA$69</c:f>
              <c:numCache>
                <c:formatCode>"$"#,##0</c:formatCode>
                <c:ptCount val="25"/>
                <c:pt idx="0">
                  <c:v>16341193150</c:v>
                </c:pt>
                <c:pt idx="1">
                  <c:v>22710165150</c:v>
                </c:pt>
                <c:pt idx="2">
                  <c:v>30060091150</c:v>
                </c:pt>
                <c:pt idx="3">
                  <c:v>27610459150</c:v>
                </c:pt>
                <c:pt idx="4">
                  <c:v>33421571150</c:v>
                </c:pt>
                <c:pt idx="5">
                  <c:v>42755149150</c:v>
                </c:pt>
                <c:pt idx="6">
                  <c:v>41364295150</c:v>
                </c:pt>
                <c:pt idx="7">
                  <c:v>44792417150</c:v>
                </c:pt>
                <c:pt idx="8">
                  <c:v>46108826510</c:v>
                </c:pt>
                <c:pt idx="9">
                  <c:v>47464728150.800003</c:v>
                </c:pt>
                <c:pt idx="10">
                  <c:v>48861306840.824005</c:v>
                </c:pt>
                <c:pt idx="11">
                  <c:v>50299782891.548721</c:v>
                </c:pt>
                <c:pt idx="12">
                  <c:v>51781413223.795181</c:v>
                </c:pt>
                <c:pt idx="13">
                  <c:v>53307492466.009033</c:v>
                </c:pt>
                <c:pt idx="14">
                  <c:v>54879354085.489311</c:v>
                </c:pt>
                <c:pt idx="15">
                  <c:v>56498371553.553993</c:v>
                </c:pt>
                <c:pt idx="16">
                  <c:v>58165959545.660614</c:v>
                </c:pt>
                <c:pt idx="17">
                  <c:v>59883575177.530426</c:v>
                </c:pt>
                <c:pt idx="18">
                  <c:v>61652719278.356339</c:v>
                </c:pt>
                <c:pt idx="19">
                  <c:v>63474937702.207031</c:v>
                </c:pt>
                <c:pt idx="20">
                  <c:v>65351822678.773247</c:v>
                </c:pt>
                <c:pt idx="21">
                  <c:v>67285014204.636444</c:v>
                </c:pt>
                <c:pt idx="22">
                  <c:v>69276201476.275543</c:v>
                </c:pt>
                <c:pt idx="23">
                  <c:v>71327124366.063812</c:v>
                </c:pt>
                <c:pt idx="24">
                  <c:v>73439574942.545715</c:v>
                </c:pt>
              </c:numCache>
            </c:numRef>
          </c:val>
          <c:smooth val="0"/>
        </c:ser>
        <c:dLbls>
          <c:showLegendKey val="0"/>
          <c:showVal val="0"/>
          <c:showCatName val="0"/>
          <c:showSerName val="0"/>
          <c:showPercent val="0"/>
          <c:showBubbleSize val="0"/>
        </c:dLbls>
        <c:marker val="1"/>
        <c:smooth val="0"/>
        <c:axId val="413004160"/>
        <c:axId val="413005696"/>
      </c:lineChart>
      <c:catAx>
        <c:axId val="413004160"/>
        <c:scaling>
          <c:orientation val="minMax"/>
        </c:scaling>
        <c:delete val="0"/>
        <c:axPos val="b"/>
        <c:numFmt formatCode="General" sourceLinked="1"/>
        <c:majorTickMark val="out"/>
        <c:minorTickMark val="none"/>
        <c:tickLblPos val="nextTo"/>
        <c:crossAx val="413005696"/>
        <c:crosses val="autoZero"/>
        <c:auto val="1"/>
        <c:lblAlgn val="ctr"/>
        <c:lblOffset val="100"/>
        <c:noMultiLvlLbl val="0"/>
      </c:catAx>
      <c:valAx>
        <c:axId val="413005696"/>
        <c:scaling>
          <c:orientation val="minMax"/>
        </c:scaling>
        <c:delete val="0"/>
        <c:axPos val="l"/>
        <c:numFmt formatCode="&quot;$&quot;#,##0" sourceLinked="1"/>
        <c:majorTickMark val="out"/>
        <c:minorTickMark val="none"/>
        <c:tickLblPos val="nextTo"/>
        <c:crossAx val="413004160"/>
        <c:crossesAt val="1"/>
        <c:crossBetween val="between"/>
        <c:dispUnits>
          <c:builtInUnit val="billions"/>
          <c:dispUnitsLbl>
            <c:layout>
              <c:manualLayout>
                <c:xMode val="edge"/>
                <c:yMode val="edge"/>
                <c:x val="5.3057742782152235E-3"/>
                <c:y val="0.30603018372703411"/>
              </c:manualLayout>
            </c:layout>
          </c:dispUnitsLbl>
        </c:dispUnits>
      </c:valAx>
    </c:plotArea>
    <c:legend>
      <c:legendPos val="r"/>
      <c:legendEntry>
        <c:idx val="0"/>
        <c:delete val="1"/>
      </c:legendEntry>
      <c:legendEntry>
        <c:idx val="2"/>
        <c:delete val="1"/>
      </c:legendEntry>
      <c:layout>
        <c:manualLayout>
          <c:xMode val="edge"/>
          <c:yMode val="edge"/>
          <c:x val="0.1775269028871391"/>
          <c:y val="0.80517169728783899"/>
          <c:w val="0.7025564304461942"/>
          <c:h val="0.15316163604549432"/>
        </c:manualLayout>
      </c:layout>
      <c:overlay val="0"/>
      <c:spPr>
        <a:solidFill>
          <a:schemeClr val="bg1">
            <a:lumMod val="85000"/>
          </a:schemeClr>
        </a:solidFill>
        <a:ln>
          <a:solidFill>
            <a:sysClr val="windowText" lastClr="000000"/>
          </a:solidFill>
        </a:ln>
      </c:spPr>
    </c:legend>
    <c:plotVisOnly val="1"/>
    <c:dispBlanksAs val="zero"/>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Canada</a:t>
            </a:r>
          </a:p>
        </c:rich>
      </c:tx>
      <c:layout/>
      <c:overlay val="1"/>
    </c:title>
    <c:autoTitleDeleted val="0"/>
    <c:plotArea>
      <c:layout>
        <c:manualLayout>
          <c:layoutTarget val="inner"/>
          <c:xMode val="edge"/>
          <c:yMode val="edge"/>
          <c:x val="0.13619706911636045"/>
          <c:y val="5.1400554097404488E-2"/>
          <c:w val="0.83299650043744533"/>
          <c:h val="0.63319845435987165"/>
        </c:manualLayout>
      </c:layout>
      <c:areaChart>
        <c:grouping val="standard"/>
        <c:varyColors val="0"/>
        <c:ser>
          <c:idx val="4"/>
          <c:order val="0"/>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Calculations'!$C$95:$AA$95</c:f>
              <c:numCache>
                <c:formatCode>"$"#,##0</c:formatCode>
                <c:ptCount val="25"/>
                <c:pt idx="0">
                  <c:v>5782343191.1017885</c:v>
                </c:pt>
                <c:pt idx="1">
                  <c:v>6260005191.1017885</c:v>
                </c:pt>
                <c:pt idx="2">
                  <c:v>7268794191.1017885</c:v>
                </c:pt>
                <c:pt idx="3">
                  <c:v>6649163191.1017885</c:v>
                </c:pt>
                <c:pt idx="4">
                  <c:v>6687609191.1017885</c:v>
                </c:pt>
                <c:pt idx="5">
                  <c:v>7326502191.1017885</c:v>
                </c:pt>
                <c:pt idx="6">
                  <c:v>7798103191.1017885</c:v>
                </c:pt>
                <c:pt idx="7">
                  <c:v>8182085191.1017885</c:v>
                </c:pt>
                <c:pt idx="8">
                  <c:v>8305422031.1017885</c:v>
                </c:pt>
                <c:pt idx="9">
                  <c:v>8432458976.3017883</c:v>
                </c:pt>
                <c:pt idx="10">
                  <c:v>8563307029.8577881</c:v>
                </c:pt>
                <c:pt idx="11">
                  <c:v>8698080525.0204697</c:v>
                </c:pt>
                <c:pt idx="12">
                  <c:v>8836897225.0380287</c:v>
                </c:pt>
                <c:pt idx="13">
                  <c:v>8979878426.0561161</c:v>
                </c:pt>
                <c:pt idx="14">
                  <c:v>9127149063.1047459</c:v>
                </c:pt>
                <c:pt idx="15">
                  <c:v>9278837819.2648354</c:v>
                </c:pt>
                <c:pt idx="16">
                  <c:v>9435077238.109726</c:v>
                </c:pt>
                <c:pt idx="17">
                  <c:v>9596003839.5199623</c:v>
                </c:pt>
                <c:pt idx="18">
                  <c:v>9761758238.9725075</c:v>
                </c:pt>
                <c:pt idx="19">
                  <c:v>9932485270.4086304</c:v>
                </c:pt>
                <c:pt idx="20">
                  <c:v>10108334112.787834</c:v>
                </c:pt>
                <c:pt idx="21">
                  <c:v>10289458420.438416</c:v>
                </c:pt>
                <c:pt idx="22">
                  <c:v>10476016457.318516</c:v>
                </c:pt>
                <c:pt idx="23">
                  <c:v>10668171235.305017</c:v>
                </c:pt>
                <c:pt idx="24">
                  <c:v>10866090656.631115</c:v>
                </c:pt>
              </c:numCache>
            </c:numRef>
          </c:val>
        </c:ser>
        <c:ser>
          <c:idx val="5"/>
          <c:order val="1"/>
          <c:tx>
            <c:v>Water Cut</c:v>
          </c:tx>
          <c:spPr>
            <a:solidFill>
              <a:srgbClr val="FF0000">
                <a:alpha val="43000"/>
              </a:srgbClr>
            </a:solid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Calculations'!$C$95:$AA$95</c:f>
              <c:numCache>
                <c:formatCode>"$"#,##0</c:formatCode>
                <c:ptCount val="25"/>
                <c:pt idx="0">
                  <c:v>5782343191.1017885</c:v>
                </c:pt>
                <c:pt idx="1">
                  <c:v>6260005191.1017885</c:v>
                </c:pt>
                <c:pt idx="2">
                  <c:v>7268794191.1017885</c:v>
                </c:pt>
                <c:pt idx="3">
                  <c:v>6649163191.1017885</c:v>
                </c:pt>
                <c:pt idx="4">
                  <c:v>6687609191.1017885</c:v>
                </c:pt>
                <c:pt idx="5">
                  <c:v>7326502191.1017885</c:v>
                </c:pt>
                <c:pt idx="6">
                  <c:v>7798103191.1017885</c:v>
                </c:pt>
                <c:pt idx="7">
                  <c:v>8182085191.1017885</c:v>
                </c:pt>
                <c:pt idx="8">
                  <c:v>8305422031.1017885</c:v>
                </c:pt>
                <c:pt idx="9">
                  <c:v>8432458976.3017883</c:v>
                </c:pt>
                <c:pt idx="10">
                  <c:v>8563307029.8577881</c:v>
                </c:pt>
                <c:pt idx="11">
                  <c:v>8698080525.0204697</c:v>
                </c:pt>
                <c:pt idx="12">
                  <c:v>8836897225.0380287</c:v>
                </c:pt>
                <c:pt idx="13">
                  <c:v>8979878426.0561161</c:v>
                </c:pt>
                <c:pt idx="14">
                  <c:v>9127149063.1047459</c:v>
                </c:pt>
                <c:pt idx="15">
                  <c:v>9278837819.2648354</c:v>
                </c:pt>
                <c:pt idx="16">
                  <c:v>9435077238.109726</c:v>
                </c:pt>
                <c:pt idx="17">
                  <c:v>9596003839.5199623</c:v>
                </c:pt>
                <c:pt idx="18">
                  <c:v>9761758238.9725075</c:v>
                </c:pt>
                <c:pt idx="19">
                  <c:v>9932485270.4086304</c:v>
                </c:pt>
                <c:pt idx="20">
                  <c:v>10108334112.787834</c:v>
                </c:pt>
                <c:pt idx="21">
                  <c:v>10289458420.438416</c:v>
                </c:pt>
                <c:pt idx="22">
                  <c:v>10476016457.318516</c:v>
                </c:pt>
                <c:pt idx="23">
                  <c:v>10668171235.305017</c:v>
                </c:pt>
                <c:pt idx="24">
                  <c:v>10866090656.631115</c:v>
                </c:pt>
              </c:numCache>
            </c:numRef>
          </c:val>
        </c:ser>
        <c:ser>
          <c:idx val="1"/>
          <c:order val="2"/>
          <c:tx>
            <c:v>OTDS</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Calculations'!$B$261:$Z$261</c:f>
              <c:numCache>
                <c:formatCode>_("$"* #,##0.00_);_("$"* \(#,##0.00\);_("$"* "-"??_);_(@_)</c:formatCode>
                <c:ptCount val="25"/>
                <c:pt idx="0">
                  <c:v>5782343191.1017885</c:v>
                </c:pt>
                <c:pt idx="1">
                  <c:v>6260005191.1017885</c:v>
                </c:pt>
                <c:pt idx="2">
                  <c:v>7268794191.1017885</c:v>
                </c:pt>
                <c:pt idx="3">
                  <c:v>6649163191.1017885</c:v>
                </c:pt>
                <c:pt idx="4">
                  <c:v>6687609191.1017885</c:v>
                </c:pt>
                <c:pt idx="5">
                  <c:v>7326502191.1017885</c:v>
                </c:pt>
                <c:pt idx="6">
                  <c:v>7798103191.1017885</c:v>
                </c:pt>
                <c:pt idx="7">
                  <c:v>8182085191.1017885</c:v>
                </c:pt>
                <c:pt idx="8">
                  <c:v>8305422031.1017885</c:v>
                </c:pt>
                <c:pt idx="9">
                  <c:v>8432458976.3017883</c:v>
                </c:pt>
                <c:pt idx="10">
                  <c:v>8563307029.8577881</c:v>
                </c:pt>
                <c:pt idx="11">
                  <c:v>8698080525.0204697</c:v>
                </c:pt>
                <c:pt idx="12">
                  <c:v>8836897225.0380287</c:v>
                </c:pt>
                <c:pt idx="13">
                  <c:v>8979878426.0561161</c:v>
                </c:pt>
                <c:pt idx="14">
                  <c:v>9127149063.1047459</c:v>
                </c:pt>
                <c:pt idx="15">
                  <c:v>9278837819.2648354</c:v>
                </c:pt>
                <c:pt idx="16">
                  <c:v>9435077238.109726</c:v>
                </c:pt>
                <c:pt idx="17">
                  <c:v>9596003839.5199623</c:v>
                </c:pt>
                <c:pt idx="18">
                  <c:v>9761758238.9725075</c:v>
                </c:pt>
                <c:pt idx="19">
                  <c:v>9932485270.4086304</c:v>
                </c:pt>
                <c:pt idx="20">
                  <c:v>10108334112.787834</c:v>
                </c:pt>
                <c:pt idx="21">
                  <c:v>10289458420.438416</c:v>
                </c:pt>
                <c:pt idx="22">
                  <c:v>10476016457.318516</c:v>
                </c:pt>
                <c:pt idx="23">
                  <c:v>10668171235.305017</c:v>
                </c:pt>
                <c:pt idx="24">
                  <c:v>10866090656.631115</c:v>
                </c:pt>
              </c:numCache>
            </c:numRef>
          </c:val>
        </c:ser>
        <c:ser>
          <c:idx val="0"/>
          <c:order val="3"/>
          <c:tx>
            <c:v>Spending</c:v>
          </c:tx>
          <c:spPr>
            <a:solidFill>
              <a:srgbClr val="FF0000"/>
            </a:solidFill>
            <a:ln w="25400">
              <a:noFill/>
            </a:ln>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Calculations'!$C$83:$AA$83</c:f>
              <c:numCache>
                <c:formatCode>"$"#,##0</c:formatCode>
                <c:ptCount val="25"/>
                <c:pt idx="0">
                  <c:v>1939352319.2237749</c:v>
                </c:pt>
                <c:pt idx="1">
                  <c:v>2823318614.7546911</c:v>
                </c:pt>
                <c:pt idx="2">
                  <c:v>3127427100.1676054</c:v>
                </c:pt>
                <c:pt idx="3">
                  <c:v>2570150392.15413</c:v>
                </c:pt>
                <c:pt idx="4">
                  <c:v>2942072190.5485468</c:v>
                </c:pt>
                <c:pt idx="5">
                  <c:v>3016140365.1341271</c:v>
                </c:pt>
                <c:pt idx="6">
                  <c:v>2892232817.525692</c:v>
                </c:pt>
                <c:pt idx="7">
                  <c:v>2978999802.0514627</c:v>
                </c:pt>
                <c:pt idx="8">
                  <c:v>3068369796.1130066</c:v>
                </c:pt>
                <c:pt idx="9">
                  <c:v>3160420889.996397</c:v>
                </c:pt>
                <c:pt idx="10">
                  <c:v>3255233516.6962891</c:v>
                </c:pt>
                <c:pt idx="11">
                  <c:v>3352890522.1971779</c:v>
                </c:pt>
                <c:pt idx="12">
                  <c:v>3453477237.8630934</c:v>
                </c:pt>
                <c:pt idx="13">
                  <c:v>3557081554.9989862</c:v>
                </c:pt>
                <c:pt idx="14">
                  <c:v>3663794001.6489558</c:v>
                </c:pt>
                <c:pt idx="15">
                  <c:v>3773707821.6984243</c:v>
                </c:pt>
                <c:pt idx="16">
                  <c:v>3886919056.3493772</c:v>
                </c:pt>
                <c:pt idx="17">
                  <c:v>4003526628.0398583</c:v>
                </c:pt>
                <c:pt idx="18">
                  <c:v>4123632426.8810539</c:v>
                </c:pt>
                <c:pt idx="19">
                  <c:v>4247341399.6874857</c:v>
                </c:pt>
                <c:pt idx="20">
                  <c:v>4374761641.6781101</c:v>
                </c:pt>
                <c:pt idx="21">
                  <c:v>4506004490.9284534</c:v>
                </c:pt>
                <c:pt idx="22">
                  <c:v>4641184625.6563072</c:v>
                </c:pt>
                <c:pt idx="23">
                  <c:v>4780420164.4259968</c:v>
                </c:pt>
                <c:pt idx="24">
                  <c:v>4923832769.358777</c:v>
                </c:pt>
              </c:numCache>
            </c:numRef>
          </c:val>
        </c:ser>
        <c:dLbls>
          <c:showLegendKey val="0"/>
          <c:showVal val="0"/>
          <c:showCatName val="0"/>
          <c:showSerName val="0"/>
          <c:showPercent val="0"/>
          <c:showBubbleSize val="0"/>
        </c:dLbls>
        <c:axId val="437550464"/>
        <c:axId val="437564544"/>
      </c:areaChart>
      <c:lineChart>
        <c:grouping val="standard"/>
        <c:varyColors val="0"/>
        <c:ser>
          <c:idx val="3"/>
          <c:order val="4"/>
          <c:tx>
            <c:v>Existing Limit</c:v>
          </c:tx>
          <c:spPr>
            <a:ln>
              <a:solidFill>
                <a:schemeClr val="tx1"/>
              </a:solidFill>
            </a:ln>
          </c:spPr>
          <c:marker>
            <c:symbol val="none"/>
          </c:marker>
          <c:val>
            <c:numRef>
              <c:f>'OTDS Tab Calculations'!$C$95:$AA$95</c:f>
              <c:numCache>
                <c:formatCode>"$"#,##0</c:formatCode>
                <c:ptCount val="25"/>
                <c:pt idx="0">
                  <c:v>5782343191.1017885</c:v>
                </c:pt>
                <c:pt idx="1">
                  <c:v>6260005191.1017885</c:v>
                </c:pt>
                <c:pt idx="2">
                  <c:v>7268794191.1017885</c:v>
                </c:pt>
                <c:pt idx="3">
                  <c:v>6649163191.1017885</c:v>
                </c:pt>
                <c:pt idx="4">
                  <c:v>6687609191.1017885</c:v>
                </c:pt>
                <c:pt idx="5">
                  <c:v>7326502191.1017885</c:v>
                </c:pt>
                <c:pt idx="6">
                  <c:v>7798103191.1017885</c:v>
                </c:pt>
                <c:pt idx="7">
                  <c:v>8182085191.1017885</c:v>
                </c:pt>
                <c:pt idx="8">
                  <c:v>8305422031.1017885</c:v>
                </c:pt>
                <c:pt idx="9">
                  <c:v>8432458976.3017883</c:v>
                </c:pt>
                <c:pt idx="10">
                  <c:v>8563307029.8577881</c:v>
                </c:pt>
                <c:pt idx="11">
                  <c:v>8698080525.0204697</c:v>
                </c:pt>
                <c:pt idx="12">
                  <c:v>8836897225.0380287</c:v>
                </c:pt>
                <c:pt idx="13">
                  <c:v>8979878426.0561161</c:v>
                </c:pt>
                <c:pt idx="14">
                  <c:v>9127149063.1047459</c:v>
                </c:pt>
                <c:pt idx="15">
                  <c:v>9278837819.2648354</c:v>
                </c:pt>
                <c:pt idx="16">
                  <c:v>9435077238.109726</c:v>
                </c:pt>
                <c:pt idx="17">
                  <c:v>9596003839.5199623</c:v>
                </c:pt>
                <c:pt idx="18">
                  <c:v>9761758238.9725075</c:v>
                </c:pt>
                <c:pt idx="19">
                  <c:v>9932485270.4086304</c:v>
                </c:pt>
                <c:pt idx="20">
                  <c:v>10108334112.787834</c:v>
                </c:pt>
                <c:pt idx="21">
                  <c:v>10289458420.438416</c:v>
                </c:pt>
                <c:pt idx="22">
                  <c:v>10476016457.318516</c:v>
                </c:pt>
                <c:pt idx="23">
                  <c:v>10668171235.305017</c:v>
                </c:pt>
                <c:pt idx="24">
                  <c:v>10866090656.631115</c:v>
                </c:pt>
              </c:numCache>
            </c:numRef>
          </c:val>
          <c:smooth val="0"/>
        </c:ser>
        <c:ser>
          <c:idx val="2"/>
          <c:order val="5"/>
          <c:tx>
            <c:v>OTDS</c:v>
          </c:tx>
          <c:spPr>
            <a:ln>
              <a:solidFill>
                <a:srgbClr val="FFFF00"/>
              </a:solidFill>
              <a:prstDash val="dash"/>
            </a:ln>
          </c:spPr>
          <c:marker>
            <c:symbol val="none"/>
          </c:marker>
          <c:val>
            <c:numRef>
              <c:f>'OTDS Tab Calculations'!$C$70:$AA$70</c:f>
              <c:numCache>
                <c:formatCode>"$"#,##0</c:formatCode>
                <c:ptCount val="25"/>
                <c:pt idx="0">
                  <c:v>5782343191.1017885</c:v>
                </c:pt>
                <c:pt idx="1">
                  <c:v>6260005191.1017885</c:v>
                </c:pt>
                <c:pt idx="2">
                  <c:v>7268794191.1017885</c:v>
                </c:pt>
                <c:pt idx="3">
                  <c:v>6649163191.1017885</c:v>
                </c:pt>
                <c:pt idx="4">
                  <c:v>6687609191.1017885</c:v>
                </c:pt>
                <c:pt idx="5">
                  <c:v>7326502191.1017885</c:v>
                </c:pt>
                <c:pt idx="6">
                  <c:v>7798103191.1017885</c:v>
                </c:pt>
                <c:pt idx="7">
                  <c:v>8182085191.1017885</c:v>
                </c:pt>
                <c:pt idx="8">
                  <c:v>8305422031.1017885</c:v>
                </c:pt>
                <c:pt idx="9">
                  <c:v>8432458976.3017883</c:v>
                </c:pt>
                <c:pt idx="10">
                  <c:v>8563307029.8577881</c:v>
                </c:pt>
                <c:pt idx="11">
                  <c:v>8698080525.0204697</c:v>
                </c:pt>
                <c:pt idx="12">
                  <c:v>8836897225.0380287</c:v>
                </c:pt>
                <c:pt idx="13">
                  <c:v>8979878426.0561161</c:v>
                </c:pt>
                <c:pt idx="14">
                  <c:v>9127149063.1047459</c:v>
                </c:pt>
                <c:pt idx="15">
                  <c:v>9278837819.2648354</c:v>
                </c:pt>
                <c:pt idx="16">
                  <c:v>9435077238.109726</c:v>
                </c:pt>
                <c:pt idx="17">
                  <c:v>9596003839.5199623</c:v>
                </c:pt>
                <c:pt idx="18">
                  <c:v>9761758238.9725075</c:v>
                </c:pt>
                <c:pt idx="19">
                  <c:v>9932485270.4086304</c:v>
                </c:pt>
                <c:pt idx="20">
                  <c:v>10108334112.787834</c:v>
                </c:pt>
                <c:pt idx="21">
                  <c:v>10289458420.438416</c:v>
                </c:pt>
                <c:pt idx="22">
                  <c:v>10476016457.318516</c:v>
                </c:pt>
                <c:pt idx="23">
                  <c:v>10668171235.305017</c:v>
                </c:pt>
                <c:pt idx="24">
                  <c:v>10866090656.631115</c:v>
                </c:pt>
              </c:numCache>
            </c:numRef>
          </c:val>
          <c:smooth val="0"/>
        </c:ser>
        <c:dLbls>
          <c:showLegendKey val="0"/>
          <c:showVal val="0"/>
          <c:showCatName val="0"/>
          <c:showSerName val="0"/>
          <c:showPercent val="0"/>
          <c:showBubbleSize val="0"/>
        </c:dLbls>
        <c:marker val="1"/>
        <c:smooth val="0"/>
        <c:axId val="437550464"/>
        <c:axId val="437564544"/>
      </c:lineChart>
      <c:catAx>
        <c:axId val="437550464"/>
        <c:scaling>
          <c:orientation val="minMax"/>
        </c:scaling>
        <c:delete val="0"/>
        <c:axPos val="b"/>
        <c:numFmt formatCode="General" sourceLinked="1"/>
        <c:majorTickMark val="out"/>
        <c:minorTickMark val="none"/>
        <c:tickLblPos val="nextTo"/>
        <c:crossAx val="437564544"/>
        <c:crosses val="autoZero"/>
        <c:auto val="1"/>
        <c:lblAlgn val="ctr"/>
        <c:lblOffset val="100"/>
        <c:noMultiLvlLbl val="0"/>
      </c:catAx>
      <c:valAx>
        <c:axId val="437564544"/>
        <c:scaling>
          <c:orientation val="minMax"/>
        </c:scaling>
        <c:delete val="0"/>
        <c:axPos val="l"/>
        <c:numFmt formatCode="&quot;$&quot;#,##0" sourceLinked="1"/>
        <c:majorTickMark val="out"/>
        <c:minorTickMark val="none"/>
        <c:tickLblPos val="nextTo"/>
        <c:crossAx val="437550464"/>
        <c:crossesAt val="1"/>
        <c:crossBetween val="between"/>
        <c:dispUnits>
          <c:builtInUnit val="billions"/>
          <c:dispUnitsLbl>
            <c:layout>
              <c:manualLayout>
                <c:xMode val="edge"/>
                <c:yMode val="edge"/>
                <c:x val="5.3057742782152235E-3"/>
                <c:y val="0.30603018372703411"/>
              </c:manualLayout>
            </c:layout>
          </c:dispUnitsLbl>
        </c:dispUnits>
      </c:valAx>
    </c:plotArea>
    <c:legend>
      <c:legendPos val="r"/>
      <c:legendEntry>
        <c:idx val="0"/>
        <c:delete val="1"/>
      </c:legendEntry>
      <c:legendEntry>
        <c:idx val="2"/>
        <c:delete val="1"/>
      </c:legendEntry>
      <c:layout>
        <c:manualLayout>
          <c:xMode val="edge"/>
          <c:yMode val="edge"/>
          <c:x val="0.1775269028871391"/>
          <c:y val="0.80517169728783899"/>
          <c:w val="0.7025564304461942"/>
          <c:h val="0.15316163604549432"/>
        </c:manualLayout>
      </c:layout>
      <c:overlay val="0"/>
      <c:spPr>
        <a:solidFill>
          <a:schemeClr val="bg1">
            <a:lumMod val="85000"/>
          </a:schemeClr>
        </a:solidFill>
        <a:ln>
          <a:solidFill>
            <a:sysClr val="windowText" lastClr="000000"/>
          </a:solidFill>
        </a:ln>
      </c:spPr>
    </c:legend>
    <c:plotVisOnly val="1"/>
    <c:dispBlanksAs val="zero"/>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India</a:t>
            </a:r>
          </a:p>
        </c:rich>
      </c:tx>
      <c:layout/>
      <c:overlay val="1"/>
    </c:title>
    <c:autoTitleDeleted val="0"/>
    <c:plotArea>
      <c:layout>
        <c:manualLayout>
          <c:layoutTarget val="inner"/>
          <c:xMode val="edge"/>
          <c:yMode val="edge"/>
          <c:x val="0.13619706911636045"/>
          <c:y val="5.1400554097404488E-2"/>
          <c:w val="0.83299650043744533"/>
          <c:h val="0.63319845435987165"/>
        </c:manualLayout>
      </c:layout>
      <c:areaChart>
        <c:grouping val="standard"/>
        <c:varyColors val="0"/>
        <c:ser>
          <c:idx val="4"/>
          <c:order val="0"/>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Calculations'!$C$98:$AA$98</c:f>
              <c:numCache>
                <c:formatCode>"$"#,##0</c:formatCode>
                <c:ptCount val="25"/>
                <c:pt idx="0">
                  <c:v>31111702000</c:v>
                </c:pt>
                <c:pt idx="1">
                  <c:v>39926360000</c:v>
                </c:pt>
                <c:pt idx="2">
                  <c:v>43012342000</c:v>
                </c:pt>
                <c:pt idx="3">
                  <c:v>41379604000</c:v>
                </c:pt>
                <c:pt idx="4">
                  <c:v>46126178000</c:v>
                </c:pt>
                <c:pt idx="5">
                  <c:v>49472700000</c:v>
                </c:pt>
                <c:pt idx="6">
                  <c:v>47734470000</c:v>
                </c:pt>
                <c:pt idx="7">
                  <c:v>51356354000</c:v>
                </c:pt>
                <c:pt idx="8">
                  <c:v>52897044620</c:v>
                </c:pt>
                <c:pt idx="9">
                  <c:v>54483955958.600006</c:v>
                </c:pt>
                <c:pt idx="10">
                  <c:v>56118474637.358002</c:v>
                </c:pt>
                <c:pt idx="11">
                  <c:v>57802028876.478737</c:v>
                </c:pt>
                <c:pt idx="12">
                  <c:v>59536089742.773102</c:v>
                </c:pt>
                <c:pt idx="13">
                  <c:v>61322172435.05629</c:v>
                </c:pt>
                <c:pt idx="14">
                  <c:v>63161837608.107971</c:v>
                </c:pt>
                <c:pt idx="15">
                  <c:v>65056692736.351212</c:v>
                </c:pt>
                <c:pt idx="16">
                  <c:v>67008393518.44175</c:v>
                </c:pt>
                <c:pt idx="17">
                  <c:v>69018645323.994995</c:v>
                </c:pt>
                <c:pt idx="18">
                  <c:v>71089204683.714844</c:v>
                </c:pt>
                <c:pt idx="19">
                  <c:v>73221880824.226303</c:v>
                </c:pt>
                <c:pt idx="20">
                  <c:v>75418537248.953094</c:v>
                </c:pt>
                <c:pt idx="21">
                  <c:v>77681093366.421677</c:v>
                </c:pt>
                <c:pt idx="22">
                  <c:v>80011526167.414337</c:v>
                </c:pt>
                <c:pt idx="23">
                  <c:v>82411871952.436768</c:v>
                </c:pt>
                <c:pt idx="24">
                  <c:v>84884228111.009872</c:v>
                </c:pt>
              </c:numCache>
            </c:numRef>
          </c:val>
        </c:ser>
        <c:ser>
          <c:idx val="5"/>
          <c:order val="1"/>
          <c:tx>
            <c:v>Water Cut</c:v>
          </c:tx>
          <c:spPr>
            <a:solidFill>
              <a:srgbClr val="FF0000">
                <a:alpha val="43000"/>
              </a:srgbClr>
            </a:solid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Calculations'!$C$98:$AA$98</c:f>
              <c:numCache>
                <c:formatCode>"$"#,##0</c:formatCode>
                <c:ptCount val="25"/>
                <c:pt idx="0">
                  <c:v>31111702000</c:v>
                </c:pt>
                <c:pt idx="1">
                  <c:v>39926360000</c:v>
                </c:pt>
                <c:pt idx="2">
                  <c:v>43012342000</c:v>
                </c:pt>
                <c:pt idx="3">
                  <c:v>41379604000</c:v>
                </c:pt>
                <c:pt idx="4">
                  <c:v>46126178000</c:v>
                </c:pt>
                <c:pt idx="5">
                  <c:v>49472700000</c:v>
                </c:pt>
                <c:pt idx="6">
                  <c:v>47734470000</c:v>
                </c:pt>
                <c:pt idx="7">
                  <c:v>51356354000</c:v>
                </c:pt>
                <c:pt idx="8">
                  <c:v>52897044620</c:v>
                </c:pt>
                <c:pt idx="9">
                  <c:v>54483955958.600006</c:v>
                </c:pt>
                <c:pt idx="10">
                  <c:v>56118474637.358002</c:v>
                </c:pt>
                <c:pt idx="11">
                  <c:v>57802028876.478737</c:v>
                </c:pt>
                <c:pt idx="12">
                  <c:v>59536089742.773102</c:v>
                </c:pt>
                <c:pt idx="13">
                  <c:v>61322172435.05629</c:v>
                </c:pt>
                <c:pt idx="14">
                  <c:v>63161837608.107971</c:v>
                </c:pt>
                <c:pt idx="15">
                  <c:v>65056692736.351212</c:v>
                </c:pt>
                <c:pt idx="16">
                  <c:v>67008393518.44175</c:v>
                </c:pt>
                <c:pt idx="17">
                  <c:v>69018645323.994995</c:v>
                </c:pt>
                <c:pt idx="18">
                  <c:v>71089204683.714844</c:v>
                </c:pt>
                <c:pt idx="19">
                  <c:v>73221880824.226303</c:v>
                </c:pt>
                <c:pt idx="20">
                  <c:v>75418537248.953094</c:v>
                </c:pt>
                <c:pt idx="21">
                  <c:v>77681093366.421677</c:v>
                </c:pt>
                <c:pt idx="22">
                  <c:v>80011526167.414337</c:v>
                </c:pt>
                <c:pt idx="23">
                  <c:v>82411871952.436768</c:v>
                </c:pt>
                <c:pt idx="24">
                  <c:v>84884228111.009872</c:v>
                </c:pt>
              </c:numCache>
            </c:numRef>
          </c:val>
        </c:ser>
        <c:ser>
          <c:idx val="1"/>
          <c:order val="2"/>
          <c:tx>
            <c:v>OTDS</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Calculations'!$B$264:$Z$264</c:f>
              <c:numCache>
                <c:formatCode>_("$"* #,##0.00_);_("$"* \(#,##0.00\);_("$"* "-"??_);_(@_)</c:formatCode>
                <c:ptCount val="25"/>
                <c:pt idx="0">
                  <c:v>31111702000</c:v>
                </c:pt>
                <c:pt idx="1">
                  <c:v>39926360000</c:v>
                </c:pt>
                <c:pt idx="2">
                  <c:v>43012342000</c:v>
                </c:pt>
                <c:pt idx="3">
                  <c:v>41379604000</c:v>
                </c:pt>
                <c:pt idx="4">
                  <c:v>46126178000</c:v>
                </c:pt>
                <c:pt idx="5">
                  <c:v>49472700000</c:v>
                </c:pt>
                <c:pt idx="6">
                  <c:v>47734470000</c:v>
                </c:pt>
                <c:pt idx="7">
                  <c:v>51356354000</c:v>
                </c:pt>
                <c:pt idx="8">
                  <c:v>52897044620</c:v>
                </c:pt>
                <c:pt idx="9">
                  <c:v>54483955958.600006</c:v>
                </c:pt>
                <c:pt idx="10">
                  <c:v>56118474637.358002</c:v>
                </c:pt>
                <c:pt idx="11">
                  <c:v>57802028876.478737</c:v>
                </c:pt>
                <c:pt idx="12">
                  <c:v>59536089742.773102</c:v>
                </c:pt>
                <c:pt idx="13">
                  <c:v>61322172435.05629</c:v>
                </c:pt>
                <c:pt idx="14">
                  <c:v>63161837608.107971</c:v>
                </c:pt>
                <c:pt idx="15">
                  <c:v>65056692736.351212</c:v>
                </c:pt>
                <c:pt idx="16">
                  <c:v>67008393518.44175</c:v>
                </c:pt>
                <c:pt idx="17">
                  <c:v>69018645323.994995</c:v>
                </c:pt>
                <c:pt idx="18">
                  <c:v>71089204683.714844</c:v>
                </c:pt>
                <c:pt idx="19">
                  <c:v>73221880824.226303</c:v>
                </c:pt>
                <c:pt idx="20">
                  <c:v>75418537248.953094</c:v>
                </c:pt>
                <c:pt idx="21">
                  <c:v>77681093366.421677</c:v>
                </c:pt>
                <c:pt idx="22">
                  <c:v>80011526167.414337</c:v>
                </c:pt>
                <c:pt idx="23">
                  <c:v>82411871952.436768</c:v>
                </c:pt>
                <c:pt idx="24">
                  <c:v>84884228111.009872</c:v>
                </c:pt>
              </c:numCache>
            </c:numRef>
          </c:val>
        </c:ser>
        <c:ser>
          <c:idx val="0"/>
          <c:order val="3"/>
          <c:tx>
            <c:v>Spending</c:v>
          </c:tx>
          <c:spPr>
            <a:solidFill>
              <a:srgbClr val="FF0000"/>
            </a:solidFill>
            <a:ln w="25400">
              <a:noFill/>
            </a:ln>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Calculations'!$C$86:$AA$86</c:f>
              <c:numCache>
                <c:formatCode>"$"#,##0</c:formatCode>
                <c:ptCount val="25"/>
                <c:pt idx="0">
                  <c:v>1790000</c:v>
                </c:pt>
                <c:pt idx="1">
                  <c:v>0</c:v>
                </c:pt>
                <c:pt idx="2">
                  <c:v>432820000</c:v>
                </c:pt>
                <c:pt idx="3">
                  <c:v>1301260000</c:v>
                </c:pt>
                <c:pt idx="4">
                  <c:v>1730480000</c:v>
                </c:pt>
                <c:pt idx="5">
                  <c:v>2282170000</c:v>
                </c:pt>
                <c:pt idx="6">
                  <c:v>2350635100</c:v>
                </c:pt>
                <c:pt idx="7">
                  <c:v>2421154153</c:v>
                </c:pt>
                <c:pt idx="8">
                  <c:v>2493788777.5900002</c:v>
                </c:pt>
                <c:pt idx="9">
                  <c:v>2568602440.9177003</c:v>
                </c:pt>
                <c:pt idx="10">
                  <c:v>2645660514.1452312</c:v>
                </c:pt>
                <c:pt idx="11">
                  <c:v>2725030329.5695882</c:v>
                </c:pt>
                <c:pt idx="12">
                  <c:v>2806781239.456676</c:v>
                </c:pt>
                <c:pt idx="13">
                  <c:v>2890984676.6403761</c:v>
                </c:pt>
                <c:pt idx="14">
                  <c:v>2977714216.9395876</c:v>
                </c:pt>
                <c:pt idx="15">
                  <c:v>3067045643.4477754</c:v>
                </c:pt>
                <c:pt idx="16">
                  <c:v>3159057012.7512088</c:v>
                </c:pt>
                <c:pt idx="17">
                  <c:v>3253828723.1337452</c:v>
                </c:pt>
                <c:pt idx="18">
                  <c:v>3351443584.8277574</c:v>
                </c:pt>
                <c:pt idx="19">
                  <c:v>3451986892.3725901</c:v>
                </c:pt>
                <c:pt idx="20">
                  <c:v>3555546499.1437678</c:v>
                </c:pt>
                <c:pt idx="21">
                  <c:v>3662212894.1180811</c:v>
                </c:pt>
                <c:pt idx="22">
                  <c:v>3772079280.9416237</c:v>
                </c:pt>
                <c:pt idx="23">
                  <c:v>3885241659.3698726</c:v>
                </c:pt>
                <c:pt idx="24">
                  <c:v>4001798909.1509686</c:v>
                </c:pt>
              </c:numCache>
            </c:numRef>
          </c:val>
        </c:ser>
        <c:dLbls>
          <c:showLegendKey val="0"/>
          <c:showVal val="0"/>
          <c:showCatName val="0"/>
          <c:showSerName val="0"/>
          <c:showPercent val="0"/>
          <c:showBubbleSize val="0"/>
        </c:dLbls>
        <c:axId val="438000256"/>
        <c:axId val="438014336"/>
      </c:areaChart>
      <c:lineChart>
        <c:grouping val="standard"/>
        <c:varyColors val="0"/>
        <c:ser>
          <c:idx val="3"/>
          <c:order val="4"/>
          <c:tx>
            <c:v>Existing Limit</c:v>
          </c:tx>
          <c:spPr>
            <a:ln>
              <a:solidFill>
                <a:schemeClr val="tx1"/>
              </a:solidFill>
            </a:ln>
          </c:spPr>
          <c:marker>
            <c:symbol val="none"/>
          </c:marker>
          <c:val>
            <c:numRef>
              <c:f>'OTDS Tab Calculations'!$C$98:$AA$98</c:f>
              <c:numCache>
                <c:formatCode>"$"#,##0</c:formatCode>
                <c:ptCount val="25"/>
                <c:pt idx="0">
                  <c:v>31111702000</c:v>
                </c:pt>
                <c:pt idx="1">
                  <c:v>39926360000</c:v>
                </c:pt>
                <c:pt idx="2">
                  <c:v>43012342000</c:v>
                </c:pt>
                <c:pt idx="3">
                  <c:v>41379604000</c:v>
                </c:pt>
                <c:pt idx="4">
                  <c:v>46126178000</c:v>
                </c:pt>
                <c:pt idx="5">
                  <c:v>49472700000</c:v>
                </c:pt>
                <c:pt idx="6">
                  <c:v>47734470000</c:v>
                </c:pt>
                <c:pt idx="7">
                  <c:v>51356354000</c:v>
                </c:pt>
                <c:pt idx="8">
                  <c:v>52897044620</c:v>
                </c:pt>
                <c:pt idx="9">
                  <c:v>54483955958.600006</c:v>
                </c:pt>
                <c:pt idx="10">
                  <c:v>56118474637.358002</c:v>
                </c:pt>
                <c:pt idx="11">
                  <c:v>57802028876.478737</c:v>
                </c:pt>
                <c:pt idx="12">
                  <c:v>59536089742.773102</c:v>
                </c:pt>
                <c:pt idx="13">
                  <c:v>61322172435.05629</c:v>
                </c:pt>
                <c:pt idx="14">
                  <c:v>63161837608.107971</c:v>
                </c:pt>
                <c:pt idx="15">
                  <c:v>65056692736.351212</c:v>
                </c:pt>
                <c:pt idx="16">
                  <c:v>67008393518.44175</c:v>
                </c:pt>
                <c:pt idx="17">
                  <c:v>69018645323.994995</c:v>
                </c:pt>
                <c:pt idx="18">
                  <c:v>71089204683.714844</c:v>
                </c:pt>
                <c:pt idx="19">
                  <c:v>73221880824.226303</c:v>
                </c:pt>
                <c:pt idx="20">
                  <c:v>75418537248.953094</c:v>
                </c:pt>
                <c:pt idx="21">
                  <c:v>77681093366.421677</c:v>
                </c:pt>
                <c:pt idx="22">
                  <c:v>80011526167.414337</c:v>
                </c:pt>
                <c:pt idx="23">
                  <c:v>82411871952.436768</c:v>
                </c:pt>
                <c:pt idx="24">
                  <c:v>84884228111.009872</c:v>
                </c:pt>
              </c:numCache>
            </c:numRef>
          </c:val>
          <c:smooth val="0"/>
        </c:ser>
        <c:ser>
          <c:idx val="2"/>
          <c:order val="5"/>
          <c:tx>
            <c:v>OTDS</c:v>
          </c:tx>
          <c:spPr>
            <a:ln>
              <a:solidFill>
                <a:srgbClr val="FFFF00"/>
              </a:solidFill>
              <a:prstDash val="dash"/>
            </a:ln>
          </c:spPr>
          <c:marker>
            <c:symbol val="none"/>
          </c:marker>
          <c:val>
            <c:numRef>
              <c:f>'OTDS Tab Calculations'!$C$73:$AA$73</c:f>
              <c:numCache>
                <c:formatCode>"$"#,##0</c:formatCode>
                <c:ptCount val="25"/>
                <c:pt idx="0">
                  <c:v>31111702000</c:v>
                </c:pt>
                <c:pt idx="1">
                  <c:v>39926360000</c:v>
                </c:pt>
                <c:pt idx="2">
                  <c:v>43012342000</c:v>
                </c:pt>
                <c:pt idx="3">
                  <c:v>41379604000</c:v>
                </c:pt>
                <c:pt idx="4">
                  <c:v>46126178000</c:v>
                </c:pt>
                <c:pt idx="5">
                  <c:v>49472700000</c:v>
                </c:pt>
                <c:pt idx="6">
                  <c:v>47734470000</c:v>
                </c:pt>
                <c:pt idx="7">
                  <c:v>51356354000</c:v>
                </c:pt>
                <c:pt idx="8">
                  <c:v>52897044620</c:v>
                </c:pt>
                <c:pt idx="9">
                  <c:v>54483955958.600006</c:v>
                </c:pt>
                <c:pt idx="10">
                  <c:v>56118474637.358002</c:v>
                </c:pt>
                <c:pt idx="11">
                  <c:v>57802028876.478737</c:v>
                </c:pt>
                <c:pt idx="12">
                  <c:v>59536089742.773102</c:v>
                </c:pt>
                <c:pt idx="13">
                  <c:v>61322172435.05629</c:v>
                </c:pt>
                <c:pt idx="14">
                  <c:v>63161837608.107971</c:v>
                </c:pt>
                <c:pt idx="15">
                  <c:v>65056692736.351212</c:v>
                </c:pt>
                <c:pt idx="16">
                  <c:v>67008393518.44175</c:v>
                </c:pt>
                <c:pt idx="17">
                  <c:v>69018645323.994995</c:v>
                </c:pt>
                <c:pt idx="18">
                  <c:v>71089204683.714844</c:v>
                </c:pt>
                <c:pt idx="19">
                  <c:v>73221880824.226303</c:v>
                </c:pt>
                <c:pt idx="20">
                  <c:v>75418537248.953094</c:v>
                </c:pt>
                <c:pt idx="21">
                  <c:v>77681093366.421677</c:v>
                </c:pt>
                <c:pt idx="22">
                  <c:v>80011526167.414337</c:v>
                </c:pt>
                <c:pt idx="23">
                  <c:v>82411871952.436768</c:v>
                </c:pt>
                <c:pt idx="24">
                  <c:v>84884228111.009872</c:v>
                </c:pt>
              </c:numCache>
            </c:numRef>
          </c:val>
          <c:smooth val="0"/>
        </c:ser>
        <c:dLbls>
          <c:showLegendKey val="0"/>
          <c:showVal val="0"/>
          <c:showCatName val="0"/>
          <c:showSerName val="0"/>
          <c:showPercent val="0"/>
          <c:showBubbleSize val="0"/>
        </c:dLbls>
        <c:marker val="1"/>
        <c:smooth val="0"/>
        <c:axId val="438000256"/>
        <c:axId val="438014336"/>
      </c:lineChart>
      <c:catAx>
        <c:axId val="438000256"/>
        <c:scaling>
          <c:orientation val="minMax"/>
        </c:scaling>
        <c:delete val="0"/>
        <c:axPos val="b"/>
        <c:numFmt formatCode="General" sourceLinked="1"/>
        <c:majorTickMark val="out"/>
        <c:minorTickMark val="none"/>
        <c:tickLblPos val="nextTo"/>
        <c:crossAx val="438014336"/>
        <c:crosses val="autoZero"/>
        <c:auto val="1"/>
        <c:lblAlgn val="ctr"/>
        <c:lblOffset val="100"/>
        <c:noMultiLvlLbl val="0"/>
      </c:catAx>
      <c:valAx>
        <c:axId val="438014336"/>
        <c:scaling>
          <c:orientation val="minMax"/>
        </c:scaling>
        <c:delete val="0"/>
        <c:axPos val="l"/>
        <c:numFmt formatCode="&quot;$&quot;#,##0" sourceLinked="1"/>
        <c:majorTickMark val="out"/>
        <c:minorTickMark val="none"/>
        <c:tickLblPos val="nextTo"/>
        <c:crossAx val="438000256"/>
        <c:crossesAt val="1"/>
        <c:crossBetween val="between"/>
        <c:dispUnits>
          <c:builtInUnit val="billions"/>
          <c:dispUnitsLbl>
            <c:layout>
              <c:manualLayout>
                <c:xMode val="edge"/>
                <c:yMode val="edge"/>
                <c:x val="5.3057742782152235E-3"/>
                <c:y val="0.30603018372703411"/>
              </c:manualLayout>
            </c:layout>
          </c:dispUnitsLbl>
        </c:dispUnits>
      </c:valAx>
    </c:plotArea>
    <c:legend>
      <c:legendPos val="r"/>
      <c:legendEntry>
        <c:idx val="0"/>
        <c:delete val="1"/>
      </c:legendEntry>
      <c:legendEntry>
        <c:idx val="2"/>
        <c:delete val="1"/>
      </c:legendEntry>
      <c:layout>
        <c:manualLayout>
          <c:xMode val="edge"/>
          <c:yMode val="edge"/>
          <c:x val="0.1775269028871391"/>
          <c:y val="0.80517169728783899"/>
          <c:w val="0.7025564304461942"/>
          <c:h val="0.15316163604549432"/>
        </c:manualLayout>
      </c:layout>
      <c:overlay val="0"/>
      <c:spPr>
        <a:solidFill>
          <a:schemeClr val="bg1">
            <a:lumMod val="85000"/>
          </a:schemeClr>
        </a:solidFill>
        <a:ln>
          <a:solidFill>
            <a:sysClr val="windowText" lastClr="000000"/>
          </a:solidFill>
        </a:ln>
      </c:spPr>
    </c:legend>
    <c:plotVisOnly val="1"/>
    <c:dispBlanksAs val="zero"/>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Indonesia</a:t>
            </a:r>
          </a:p>
        </c:rich>
      </c:tx>
      <c:layout/>
      <c:overlay val="1"/>
    </c:title>
    <c:autoTitleDeleted val="0"/>
    <c:plotArea>
      <c:layout>
        <c:manualLayout>
          <c:layoutTarget val="inner"/>
          <c:xMode val="edge"/>
          <c:yMode val="edge"/>
          <c:x val="0.13619706911636045"/>
          <c:y val="5.1400554097404488E-2"/>
          <c:w val="0.83299650043744533"/>
          <c:h val="0.63319845435987165"/>
        </c:manualLayout>
      </c:layout>
      <c:areaChart>
        <c:grouping val="standard"/>
        <c:varyColors val="0"/>
        <c:ser>
          <c:idx val="4"/>
          <c:order val="0"/>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Calculations'!$C$99:$AA$99</c:f>
              <c:numCache>
                <c:formatCode>"$"#,##0</c:formatCode>
                <c:ptCount val="25"/>
                <c:pt idx="0">
                  <c:v>9216450000</c:v>
                </c:pt>
                <c:pt idx="1">
                  <c:v>10985478000</c:v>
                </c:pt>
                <c:pt idx="2">
                  <c:v>13481302000</c:v>
                </c:pt>
                <c:pt idx="3">
                  <c:v>13559770000.000002</c:v>
                </c:pt>
                <c:pt idx="4">
                  <c:v>18491138000</c:v>
                </c:pt>
                <c:pt idx="5">
                  <c:v>28223174000</c:v>
                </c:pt>
                <c:pt idx="6">
                  <c:v>28859560000</c:v>
                </c:pt>
                <c:pt idx="7">
                  <c:v>25209368000</c:v>
                </c:pt>
                <c:pt idx="8">
                  <c:v>25965649040</c:v>
                </c:pt>
                <c:pt idx="9">
                  <c:v>26744618511.200001</c:v>
                </c:pt>
                <c:pt idx="10">
                  <c:v>27546957066.535999</c:v>
                </c:pt>
                <c:pt idx="11">
                  <c:v>28373365778.532082</c:v>
                </c:pt>
                <c:pt idx="12">
                  <c:v>29224566751.888046</c:v>
                </c:pt>
                <c:pt idx="13">
                  <c:v>30101303754.444687</c:v>
                </c:pt>
                <c:pt idx="14">
                  <c:v>31004342867.07803</c:v>
                </c:pt>
                <c:pt idx="15">
                  <c:v>31934473153.09037</c:v>
                </c:pt>
                <c:pt idx="16">
                  <c:v>32892507347.683083</c:v>
                </c:pt>
                <c:pt idx="17">
                  <c:v>33879282568.113575</c:v>
                </c:pt>
                <c:pt idx="18">
                  <c:v>34895661045.156982</c:v>
                </c:pt>
                <c:pt idx="19">
                  <c:v>35942530876.511696</c:v>
                </c:pt>
                <c:pt idx="20">
                  <c:v>37020806802.807045</c:v>
                </c:pt>
                <c:pt idx="21">
                  <c:v>38131431006.891258</c:v>
                </c:pt>
                <c:pt idx="22">
                  <c:v>39275373937.097992</c:v>
                </c:pt>
                <c:pt idx="23">
                  <c:v>40453635155.21093</c:v>
                </c:pt>
                <c:pt idx="24">
                  <c:v>41667244209.867264</c:v>
                </c:pt>
              </c:numCache>
            </c:numRef>
          </c:val>
        </c:ser>
        <c:ser>
          <c:idx val="5"/>
          <c:order val="1"/>
          <c:tx>
            <c:v>Water Cut</c:v>
          </c:tx>
          <c:spPr>
            <a:solidFill>
              <a:srgbClr val="FF0000">
                <a:alpha val="43000"/>
              </a:srgbClr>
            </a:solid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Calculations'!$C$99:$AA$99</c:f>
              <c:numCache>
                <c:formatCode>"$"#,##0</c:formatCode>
                <c:ptCount val="25"/>
                <c:pt idx="0">
                  <c:v>9216450000</c:v>
                </c:pt>
                <c:pt idx="1">
                  <c:v>10985478000</c:v>
                </c:pt>
                <c:pt idx="2">
                  <c:v>13481302000</c:v>
                </c:pt>
                <c:pt idx="3">
                  <c:v>13559770000.000002</c:v>
                </c:pt>
                <c:pt idx="4">
                  <c:v>18491138000</c:v>
                </c:pt>
                <c:pt idx="5">
                  <c:v>28223174000</c:v>
                </c:pt>
                <c:pt idx="6">
                  <c:v>28859560000</c:v>
                </c:pt>
                <c:pt idx="7">
                  <c:v>25209368000</c:v>
                </c:pt>
                <c:pt idx="8">
                  <c:v>25965649040</c:v>
                </c:pt>
                <c:pt idx="9">
                  <c:v>26744618511.200001</c:v>
                </c:pt>
                <c:pt idx="10">
                  <c:v>27546957066.535999</c:v>
                </c:pt>
                <c:pt idx="11">
                  <c:v>28373365778.532082</c:v>
                </c:pt>
                <c:pt idx="12">
                  <c:v>29224566751.888046</c:v>
                </c:pt>
                <c:pt idx="13">
                  <c:v>30101303754.444687</c:v>
                </c:pt>
                <c:pt idx="14">
                  <c:v>31004342867.07803</c:v>
                </c:pt>
                <c:pt idx="15">
                  <c:v>31934473153.09037</c:v>
                </c:pt>
                <c:pt idx="16">
                  <c:v>32892507347.683083</c:v>
                </c:pt>
                <c:pt idx="17">
                  <c:v>33879282568.113575</c:v>
                </c:pt>
                <c:pt idx="18">
                  <c:v>34895661045.156982</c:v>
                </c:pt>
                <c:pt idx="19">
                  <c:v>35942530876.511696</c:v>
                </c:pt>
                <c:pt idx="20">
                  <c:v>37020806802.807045</c:v>
                </c:pt>
                <c:pt idx="21">
                  <c:v>38131431006.891258</c:v>
                </c:pt>
                <c:pt idx="22">
                  <c:v>39275373937.097992</c:v>
                </c:pt>
                <c:pt idx="23">
                  <c:v>40453635155.21093</c:v>
                </c:pt>
                <c:pt idx="24">
                  <c:v>41667244209.867264</c:v>
                </c:pt>
              </c:numCache>
            </c:numRef>
          </c:val>
        </c:ser>
        <c:ser>
          <c:idx val="1"/>
          <c:order val="2"/>
          <c:tx>
            <c:v>OTDS</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Calculations'!$B$265:$Z$265</c:f>
              <c:numCache>
                <c:formatCode>_("$"* #,##0.00_);_("$"* \(#,##0.00\);_("$"* "-"??_);_(@_)</c:formatCode>
                <c:ptCount val="25"/>
                <c:pt idx="0">
                  <c:v>9216450000</c:v>
                </c:pt>
                <c:pt idx="1">
                  <c:v>10985478000</c:v>
                </c:pt>
                <c:pt idx="2">
                  <c:v>13481302000</c:v>
                </c:pt>
                <c:pt idx="3">
                  <c:v>13559770000.000002</c:v>
                </c:pt>
                <c:pt idx="4">
                  <c:v>18491138000</c:v>
                </c:pt>
                <c:pt idx="5">
                  <c:v>28223174000</c:v>
                </c:pt>
                <c:pt idx="6">
                  <c:v>28859560000</c:v>
                </c:pt>
                <c:pt idx="7">
                  <c:v>25209368000</c:v>
                </c:pt>
                <c:pt idx="8">
                  <c:v>25965649040</c:v>
                </c:pt>
                <c:pt idx="9">
                  <c:v>26744618511.200001</c:v>
                </c:pt>
                <c:pt idx="10">
                  <c:v>27546957066.535999</c:v>
                </c:pt>
                <c:pt idx="11">
                  <c:v>28373365778.532082</c:v>
                </c:pt>
                <c:pt idx="12">
                  <c:v>29224566751.888046</c:v>
                </c:pt>
                <c:pt idx="13">
                  <c:v>30101303754.444687</c:v>
                </c:pt>
                <c:pt idx="14">
                  <c:v>31004342867.07803</c:v>
                </c:pt>
                <c:pt idx="15">
                  <c:v>31934473153.09037</c:v>
                </c:pt>
                <c:pt idx="16">
                  <c:v>32892507347.683083</c:v>
                </c:pt>
                <c:pt idx="17">
                  <c:v>33879282568.113575</c:v>
                </c:pt>
                <c:pt idx="18">
                  <c:v>34895661045.156982</c:v>
                </c:pt>
                <c:pt idx="19">
                  <c:v>35942530876.511696</c:v>
                </c:pt>
                <c:pt idx="20">
                  <c:v>37020806802.807045</c:v>
                </c:pt>
                <c:pt idx="21">
                  <c:v>38131431006.891258</c:v>
                </c:pt>
                <c:pt idx="22">
                  <c:v>39275373937.097992</c:v>
                </c:pt>
                <c:pt idx="23">
                  <c:v>40453635155.21093</c:v>
                </c:pt>
                <c:pt idx="24">
                  <c:v>41667244209.867264</c:v>
                </c:pt>
              </c:numCache>
            </c:numRef>
          </c:val>
        </c:ser>
        <c:ser>
          <c:idx val="0"/>
          <c:order val="3"/>
          <c:tx>
            <c:v>Spending</c:v>
          </c:tx>
          <c:spPr>
            <a:solidFill>
              <a:srgbClr val="FF0000"/>
            </a:solidFill>
            <a:ln w="25400">
              <a:noFill/>
            </a:ln>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Calculations'!$C$87:$AA$87</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axId val="438060928"/>
        <c:axId val="438062464"/>
      </c:areaChart>
      <c:lineChart>
        <c:grouping val="standard"/>
        <c:varyColors val="0"/>
        <c:ser>
          <c:idx val="3"/>
          <c:order val="4"/>
          <c:tx>
            <c:v>Existing Limit</c:v>
          </c:tx>
          <c:spPr>
            <a:ln>
              <a:solidFill>
                <a:schemeClr val="tx1"/>
              </a:solidFill>
            </a:ln>
          </c:spPr>
          <c:marker>
            <c:symbol val="none"/>
          </c:marker>
          <c:val>
            <c:numRef>
              <c:f>'OTDS Tab Calculations'!$C$99:$AA$99</c:f>
              <c:numCache>
                <c:formatCode>"$"#,##0</c:formatCode>
                <c:ptCount val="25"/>
                <c:pt idx="0">
                  <c:v>9216450000</c:v>
                </c:pt>
                <c:pt idx="1">
                  <c:v>10985478000</c:v>
                </c:pt>
                <c:pt idx="2">
                  <c:v>13481302000</c:v>
                </c:pt>
                <c:pt idx="3">
                  <c:v>13559770000.000002</c:v>
                </c:pt>
                <c:pt idx="4">
                  <c:v>18491138000</c:v>
                </c:pt>
                <c:pt idx="5">
                  <c:v>28223174000</c:v>
                </c:pt>
                <c:pt idx="6">
                  <c:v>28859560000</c:v>
                </c:pt>
                <c:pt idx="7">
                  <c:v>25209368000</c:v>
                </c:pt>
                <c:pt idx="8">
                  <c:v>25965649040</c:v>
                </c:pt>
                <c:pt idx="9">
                  <c:v>26744618511.200001</c:v>
                </c:pt>
                <c:pt idx="10">
                  <c:v>27546957066.535999</c:v>
                </c:pt>
                <c:pt idx="11">
                  <c:v>28373365778.532082</c:v>
                </c:pt>
                <c:pt idx="12">
                  <c:v>29224566751.888046</c:v>
                </c:pt>
                <c:pt idx="13">
                  <c:v>30101303754.444687</c:v>
                </c:pt>
                <c:pt idx="14">
                  <c:v>31004342867.07803</c:v>
                </c:pt>
                <c:pt idx="15">
                  <c:v>31934473153.09037</c:v>
                </c:pt>
                <c:pt idx="16">
                  <c:v>32892507347.683083</c:v>
                </c:pt>
                <c:pt idx="17">
                  <c:v>33879282568.113575</c:v>
                </c:pt>
                <c:pt idx="18">
                  <c:v>34895661045.156982</c:v>
                </c:pt>
                <c:pt idx="19">
                  <c:v>35942530876.511696</c:v>
                </c:pt>
                <c:pt idx="20">
                  <c:v>37020806802.807045</c:v>
                </c:pt>
                <c:pt idx="21">
                  <c:v>38131431006.891258</c:v>
                </c:pt>
                <c:pt idx="22">
                  <c:v>39275373937.097992</c:v>
                </c:pt>
                <c:pt idx="23">
                  <c:v>40453635155.21093</c:v>
                </c:pt>
                <c:pt idx="24">
                  <c:v>41667244209.867264</c:v>
                </c:pt>
              </c:numCache>
            </c:numRef>
          </c:val>
          <c:smooth val="0"/>
        </c:ser>
        <c:ser>
          <c:idx val="2"/>
          <c:order val="5"/>
          <c:tx>
            <c:v>OTDS</c:v>
          </c:tx>
          <c:spPr>
            <a:ln>
              <a:solidFill>
                <a:srgbClr val="FFFF00"/>
              </a:solidFill>
              <a:prstDash val="dash"/>
            </a:ln>
          </c:spPr>
          <c:marker>
            <c:symbol val="none"/>
          </c:marker>
          <c:val>
            <c:numRef>
              <c:f>'OTDS Tab Calculations'!$C$74:$AA$74</c:f>
              <c:numCache>
                <c:formatCode>"$"#,##0</c:formatCode>
                <c:ptCount val="25"/>
                <c:pt idx="0">
                  <c:v>9216450000</c:v>
                </c:pt>
                <c:pt idx="1">
                  <c:v>10985478000</c:v>
                </c:pt>
                <c:pt idx="2">
                  <c:v>13481302000</c:v>
                </c:pt>
                <c:pt idx="3">
                  <c:v>13559770000.000002</c:v>
                </c:pt>
                <c:pt idx="4">
                  <c:v>18491138000</c:v>
                </c:pt>
                <c:pt idx="5">
                  <c:v>28223174000</c:v>
                </c:pt>
                <c:pt idx="6">
                  <c:v>28859560000</c:v>
                </c:pt>
                <c:pt idx="7">
                  <c:v>25209368000</c:v>
                </c:pt>
                <c:pt idx="8">
                  <c:v>25965649040</c:v>
                </c:pt>
                <c:pt idx="9">
                  <c:v>26744618511.200001</c:v>
                </c:pt>
                <c:pt idx="10">
                  <c:v>27546957066.535999</c:v>
                </c:pt>
                <c:pt idx="11">
                  <c:v>28373365778.532082</c:v>
                </c:pt>
                <c:pt idx="12">
                  <c:v>29224566751.888046</c:v>
                </c:pt>
                <c:pt idx="13">
                  <c:v>30101303754.444687</c:v>
                </c:pt>
                <c:pt idx="14">
                  <c:v>31004342867.07803</c:v>
                </c:pt>
                <c:pt idx="15">
                  <c:v>31934473153.09037</c:v>
                </c:pt>
                <c:pt idx="16">
                  <c:v>32892507347.683083</c:v>
                </c:pt>
                <c:pt idx="17">
                  <c:v>33879282568.113575</c:v>
                </c:pt>
                <c:pt idx="18">
                  <c:v>34895661045.156982</c:v>
                </c:pt>
                <c:pt idx="19">
                  <c:v>35942530876.511696</c:v>
                </c:pt>
                <c:pt idx="20">
                  <c:v>37020806802.807045</c:v>
                </c:pt>
                <c:pt idx="21">
                  <c:v>38131431006.891258</c:v>
                </c:pt>
                <c:pt idx="22">
                  <c:v>39275373937.097992</c:v>
                </c:pt>
                <c:pt idx="23">
                  <c:v>40453635155.21093</c:v>
                </c:pt>
                <c:pt idx="24">
                  <c:v>41667244209.867264</c:v>
                </c:pt>
              </c:numCache>
            </c:numRef>
          </c:val>
          <c:smooth val="0"/>
        </c:ser>
        <c:dLbls>
          <c:showLegendKey val="0"/>
          <c:showVal val="0"/>
          <c:showCatName val="0"/>
          <c:showSerName val="0"/>
          <c:showPercent val="0"/>
          <c:showBubbleSize val="0"/>
        </c:dLbls>
        <c:marker val="1"/>
        <c:smooth val="0"/>
        <c:axId val="438060928"/>
        <c:axId val="438062464"/>
      </c:lineChart>
      <c:catAx>
        <c:axId val="438060928"/>
        <c:scaling>
          <c:orientation val="minMax"/>
        </c:scaling>
        <c:delete val="0"/>
        <c:axPos val="b"/>
        <c:numFmt formatCode="General" sourceLinked="1"/>
        <c:majorTickMark val="out"/>
        <c:minorTickMark val="none"/>
        <c:tickLblPos val="nextTo"/>
        <c:crossAx val="438062464"/>
        <c:crosses val="autoZero"/>
        <c:auto val="1"/>
        <c:lblAlgn val="ctr"/>
        <c:lblOffset val="100"/>
        <c:noMultiLvlLbl val="0"/>
      </c:catAx>
      <c:valAx>
        <c:axId val="438062464"/>
        <c:scaling>
          <c:orientation val="minMax"/>
        </c:scaling>
        <c:delete val="0"/>
        <c:axPos val="l"/>
        <c:numFmt formatCode="&quot;$&quot;#,##0" sourceLinked="1"/>
        <c:majorTickMark val="out"/>
        <c:minorTickMark val="none"/>
        <c:tickLblPos val="nextTo"/>
        <c:crossAx val="438060928"/>
        <c:crossesAt val="1"/>
        <c:crossBetween val="between"/>
        <c:dispUnits>
          <c:builtInUnit val="billions"/>
          <c:dispUnitsLbl>
            <c:layout>
              <c:manualLayout>
                <c:xMode val="edge"/>
                <c:yMode val="edge"/>
                <c:x val="5.3057742782152235E-3"/>
                <c:y val="0.30603018372703411"/>
              </c:manualLayout>
            </c:layout>
          </c:dispUnitsLbl>
        </c:dispUnits>
      </c:valAx>
    </c:plotArea>
    <c:legend>
      <c:legendPos val="r"/>
      <c:legendEntry>
        <c:idx val="0"/>
        <c:delete val="1"/>
      </c:legendEntry>
      <c:legendEntry>
        <c:idx val="2"/>
        <c:delete val="1"/>
      </c:legendEntry>
      <c:layout>
        <c:manualLayout>
          <c:xMode val="edge"/>
          <c:yMode val="edge"/>
          <c:x val="0.1775269028871391"/>
          <c:y val="0.80517169728783899"/>
          <c:w val="0.7025564304461942"/>
          <c:h val="0.15316163604549432"/>
        </c:manualLayout>
      </c:layout>
      <c:overlay val="0"/>
      <c:spPr>
        <a:solidFill>
          <a:schemeClr val="bg1">
            <a:lumMod val="85000"/>
          </a:schemeClr>
        </a:solidFill>
        <a:ln>
          <a:solidFill>
            <a:sysClr val="windowText" lastClr="000000"/>
          </a:solidFill>
        </a:ln>
      </c:spPr>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AMS</a:t>
            </a:r>
            <a:r>
              <a:rPr lang="en-US" sz="2000" b="1" baseline="0"/>
              <a:t> and De Minimis Limits</a:t>
            </a:r>
            <a:endParaRPr lang="en-US" sz="2000" b="1"/>
          </a:p>
        </c:rich>
      </c:tx>
      <c:overlay val="1"/>
      <c:spPr>
        <a:noFill/>
        <a:ln>
          <a:noFill/>
        </a:ln>
        <a:effectLst/>
      </c:spPr>
    </c:title>
    <c:autoTitleDeleted val="0"/>
    <c:plotArea>
      <c:layout>
        <c:manualLayout>
          <c:layoutTarget val="inner"/>
          <c:xMode val="edge"/>
          <c:yMode val="edge"/>
          <c:x val="0.11710278270181979"/>
          <c:y val="0.11395998372566556"/>
          <c:w val="0.85402389917234867"/>
          <c:h val="0.73883353992380651"/>
        </c:manualLayout>
      </c:layout>
      <c:lineChart>
        <c:grouping val="standard"/>
        <c:varyColors val="0"/>
        <c:ser>
          <c:idx val="1"/>
          <c:order val="0"/>
          <c:tx>
            <c:strRef>
              <c:f>'Machine Calculations'!$A$15</c:f>
              <c:strCache>
                <c:ptCount val="1"/>
                <c:pt idx="0">
                  <c:v>Japan</c:v>
                </c:pt>
              </c:strCache>
            </c:strRef>
          </c:tx>
          <c:spPr>
            <a:ln w="28575" cap="rnd">
              <a:solidFill>
                <a:schemeClr val="accent2"/>
              </a:solidFill>
              <a:prstDash val="lgDash"/>
              <a:round/>
            </a:ln>
            <a:effectLst/>
          </c:spPr>
          <c:marker>
            <c:symbol val="none"/>
          </c:marker>
          <c:cat>
            <c:numRef>
              <c:f>'Machine Calculations'!$B$14:$Z$14</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Calculations'!$B$15:$Z$15</c:f>
              <c:numCache>
                <c:formatCode>_("$"* #,##0.00_);_("$"* \(#,##0.00\);_("$"* "-"??_);_(@_)</c:formatCode>
                <c:ptCount val="25"/>
                <c:pt idx="0">
                  <c:v>46384205111.95343</c:v>
                </c:pt>
                <c:pt idx="1">
                  <c:v>46139829111.95343</c:v>
                </c:pt>
                <c:pt idx="2">
                  <c:v>46988349111.95343</c:v>
                </c:pt>
                <c:pt idx="3">
                  <c:v>47470963111.95343</c:v>
                </c:pt>
                <c:pt idx="4">
                  <c:v>48067160111.95343</c:v>
                </c:pt>
                <c:pt idx="5">
                  <c:v>48491804111.95343</c:v>
                </c:pt>
                <c:pt idx="6">
                  <c:v>48991799111.95343</c:v>
                </c:pt>
                <c:pt idx="7">
                  <c:v>47412534111.95343</c:v>
                </c:pt>
                <c:pt idx="8">
                  <c:v>47625976401.95343</c:v>
                </c:pt>
                <c:pt idx="9">
                  <c:v>47845821960.653427</c:v>
                </c:pt>
                <c:pt idx="10">
                  <c:v>48072262886.114433</c:v>
                </c:pt>
                <c:pt idx="11">
                  <c:v>48305497039.339264</c:v>
                </c:pt>
                <c:pt idx="12">
                  <c:v>48545728217.160835</c:v>
                </c:pt>
                <c:pt idx="13">
                  <c:v>48793166330.317062</c:v>
                </c:pt>
                <c:pt idx="14">
                  <c:v>49048027586.867966</c:v>
                </c:pt>
                <c:pt idx="15">
                  <c:v>49310534681.115402</c:v>
                </c:pt>
                <c:pt idx="16">
                  <c:v>49580916988.190262</c:v>
                </c:pt>
                <c:pt idx="17">
                  <c:v>49859410764.477371</c:v>
                </c:pt>
                <c:pt idx="18">
                  <c:v>50146259354.053085</c:v>
                </c:pt>
                <c:pt idx="19">
                  <c:v>50441713401.316078</c:v>
                </c:pt>
                <c:pt idx="20">
                  <c:v>50746031069.996956</c:v>
                </c:pt>
                <c:pt idx="21">
                  <c:v>51059478268.738266</c:v>
                </c:pt>
                <c:pt idx="22">
                  <c:v>51382328883.441803</c:v>
                </c:pt>
                <c:pt idx="23">
                  <c:v>51714865016.586456</c:v>
                </c:pt>
                <c:pt idx="24">
                  <c:v>52057377233.725449</c:v>
                </c:pt>
              </c:numCache>
            </c:numRef>
          </c:val>
          <c:smooth val="0"/>
          <c:extLst xmlns:c16r2="http://schemas.microsoft.com/office/drawing/2015/06/chart">
            <c:ext xmlns:c16="http://schemas.microsoft.com/office/drawing/2014/chart" uri="{C3380CC4-5D6E-409C-BE32-E72D297353CC}">
              <c16:uniqueId val="{00000001-92F8-493A-97E2-4B0BD7358D7F}"/>
            </c:ext>
          </c:extLst>
        </c:ser>
        <c:ser>
          <c:idx val="2"/>
          <c:order val="1"/>
          <c:tx>
            <c:strRef>
              <c:f>'Machine Calculations'!$A$16</c:f>
              <c:strCache>
                <c:ptCount val="1"/>
              </c:strCache>
            </c:strRef>
          </c:tx>
          <c:spPr>
            <a:ln w="28575" cap="rnd">
              <a:solidFill>
                <a:schemeClr val="accent3"/>
              </a:solidFill>
              <a:prstDash val="lgDash"/>
              <a:round/>
            </a:ln>
            <a:effectLst/>
          </c:spPr>
          <c:marker>
            <c:symbol val="none"/>
          </c:marker>
          <c:cat>
            <c:numRef>
              <c:f>'Machine Calculations'!$B$14:$Z$14</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Calculations'!$B$16:$Z$16</c:f>
              <c:numCache>
                <c:formatCode>_("$"* #,##0.00_);_("$"* \(#,##0.00\);_("$"* "-"??_);_(@_)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2-92F8-493A-97E2-4B0BD7358D7F}"/>
            </c:ext>
          </c:extLst>
        </c:ser>
        <c:ser>
          <c:idx val="3"/>
          <c:order val="2"/>
          <c:tx>
            <c:strRef>
              <c:f>'Machine Calculations'!$A$17</c:f>
              <c:strCache>
                <c:ptCount val="1"/>
              </c:strCache>
            </c:strRef>
          </c:tx>
          <c:spPr>
            <a:ln w="28575" cap="rnd">
              <a:solidFill>
                <a:schemeClr val="accent4"/>
              </a:solidFill>
              <a:prstDash val="lgDash"/>
              <a:round/>
            </a:ln>
            <a:effectLst/>
          </c:spPr>
          <c:marker>
            <c:symbol val="none"/>
          </c:marker>
          <c:cat>
            <c:numRef>
              <c:f>'Machine Calculations'!$B$14:$Z$14</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Calculations'!$B$17:$Z$17</c:f>
              <c:numCache>
                <c:formatCode>_("$"* #,##0.00_);_("$"* \(#,##0.00\);_("$"* "-"??_);_(@_)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3-92F8-493A-97E2-4B0BD7358D7F}"/>
            </c:ext>
          </c:extLst>
        </c:ser>
        <c:ser>
          <c:idx val="4"/>
          <c:order val="3"/>
          <c:tx>
            <c:strRef>
              <c:f>'Machine Calculations'!$A$18</c:f>
              <c:strCache>
                <c:ptCount val="1"/>
              </c:strCache>
            </c:strRef>
          </c:tx>
          <c:spPr>
            <a:ln w="28575" cap="rnd">
              <a:solidFill>
                <a:srgbClr val="00B0F0"/>
              </a:solidFill>
              <a:prstDash val="lgDash"/>
              <a:round/>
            </a:ln>
            <a:effectLst/>
          </c:spPr>
          <c:marker>
            <c:symbol val="none"/>
          </c:marker>
          <c:cat>
            <c:numRef>
              <c:f>'Machine Calculations'!$B$14:$Z$14</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Calculations'!$B$18:$Z$18</c:f>
              <c:numCache>
                <c:formatCode>_("$"* #,##0.00_);_("$"* \(#,##0.00\);_("$"* "-"??_);_(@_)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4-92F8-493A-97E2-4B0BD7358D7F}"/>
            </c:ext>
          </c:extLst>
        </c:ser>
        <c:dLbls>
          <c:showLegendKey val="0"/>
          <c:showVal val="0"/>
          <c:showCatName val="0"/>
          <c:showSerName val="0"/>
          <c:showPercent val="0"/>
          <c:showBubbleSize val="0"/>
        </c:dLbls>
        <c:marker val="1"/>
        <c:smooth val="0"/>
        <c:axId val="399046912"/>
        <c:axId val="399323136"/>
      </c:lineChart>
      <c:catAx>
        <c:axId val="399046912"/>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99323136"/>
        <c:crosses val="autoZero"/>
        <c:auto val="1"/>
        <c:lblAlgn val="ctr"/>
        <c:lblOffset val="100"/>
        <c:tickLblSkip val="2"/>
        <c:tickMarkSkip val="1"/>
        <c:noMultiLvlLbl val="0"/>
      </c:catAx>
      <c:valAx>
        <c:axId val="399323136"/>
        <c:scaling>
          <c:orientation val="minMax"/>
        </c:scaling>
        <c:delete val="0"/>
        <c:axPos val="l"/>
        <c:numFmt formatCode="&quot;$&quot;#,##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99046912"/>
        <c:crossesAt val="1"/>
        <c:crossBetween val="midCat"/>
        <c:dispUnits>
          <c:builtInUnit val="millions"/>
          <c:dispUnitsLbl>
            <c:layout>
              <c:manualLayout>
                <c:xMode val="edge"/>
                <c:yMode val="edge"/>
                <c:x val="7.1971550858970874E-3"/>
                <c:y val="0.3434228817328363"/>
              </c:manualLayout>
            </c:layout>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Million</a:t>
                  </a:r>
                  <a:r>
                    <a:rPr lang="en-US" sz="1600" b="1" baseline="0"/>
                    <a:t> USD</a:t>
                  </a:r>
                  <a:endParaRPr lang="en-US" sz="1600" b="1"/>
                </a:p>
              </c:rich>
            </c:tx>
            <c:spPr>
              <a:noFill/>
              <a:ln>
                <a:noFill/>
              </a:ln>
              <a:effectLst/>
            </c:sp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OTDS Limits</a:t>
            </a:r>
          </a:p>
        </c:rich>
      </c:tx>
      <c:layout/>
      <c:overlay val="1"/>
    </c:title>
    <c:autoTitleDeleted val="0"/>
    <c:plotArea>
      <c:layout>
        <c:manualLayout>
          <c:layoutTarget val="inner"/>
          <c:xMode val="edge"/>
          <c:yMode val="edge"/>
          <c:x val="9.0662778694243426E-2"/>
          <c:y val="4.6260622258673258E-2"/>
          <c:w val="0.88451446058632055"/>
          <c:h val="0.65811395280058449"/>
        </c:manualLayout>
      </c:layout>
      <c:lineChart>
        <c:grouping val="standard"/>
        <c:varyColors val="0"/>
        <c:ser>
          <c:idx val="0"/>
          <c:order val="0"/>
          <c:tx>
            <c:strRef>
              <c:f>'OTDS Tab Calculations'!$A$120</c:f>
              <c:strCache>
                <c:ptCount val="1"/>
                <c:pt idx="0">
                  <c:v>Australia</c:v>
                </c:pt>
              </c:strCache>
            </c:strRef>
          </c:tx>
          <c:spPr>
            <a:ln>
              <a:solidFill>
                <a:srgbClr val="FF0000"/>
              </a:solidFill>
            </a:ln>
          </c:spPr>
          <c:marker>
            <c:symbol val="none"/>
          </c:marker>
          <c:cat>
            <c:numRef>
              <c:f>'OTDS Tab Calculations'!$B$119:$Z$119</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Calculations'!$B$120:$Z$120</c:f>
              <c:numCache>
                <c:formatCode>"$"#,##0</c:formatCode>
                <c:ptCount val="25"/>
                <c:pt idx="0">
                  <c:v>2639596400.1312532</c:v>
                </c:pt>
                <c:pt idx="1">
                  <c:v>3247875400.1312532</c:v>
                </c:pt>
                <c:pt idx="2">
                  <c:v>3913574400.1312532</c:v>
                </c:pt>
                <c:pt idx="3">
                  <c:v>3419759400.1312532</c:v>
                </c:pt>
                <c:pt idx="4">
                  <c:v>3616436400.1312532</c:v>
                </c:pt>
                <c:pt idx="5">
                  <c:v>4585201400.1312532</c:v>
                </c:pt>
                <c:pt idx="6">
                  <c:v>4710807400.1312532</c:v>
                </c:pt>
                <c:pt idx="7">
                  <c:v>4550855400.1312532</c:v>
                </c:pt>
                <c:pt idx="8">
                  <c:v>4673937690.1312532</c:v>
                </c:pt>
                <c:pt idx="9">
                  <c:v>4800712448.8312531</c:v>
                </c:pt>
                <c:pt idx="10">
                  <c:v>4931290450.2922535</c:v>
                </c:pt>
                <c:pt idx="11">
                  <c:v>5065785791.7970839</c:v>
                </c:pt>
                <c:pt idx="12">
                  <c:v>5204315993.5470581</c:v>
                </c:pt>
                <c:pt idx="13">
                  <c:v>5347002101.3495331</c:v>
                </c:pt>
                <c:pt idx="14">
                  <c:v>5493968792.3860817</c:v>
                </c:pt>
                <c:pt idx="15">
                  <c:v>5645344484.1537256</c:v>
                </c:pt>
                <c:pt idx="16">
                  <c:v>5801261446.6744003</c:v>
                </c:pt>
                <c:pt idx="17">
                  <c:v>5961855918.0706949</c:v>
                </c:pt>
                <c:pt idx="18">
                  <c:v>6127268223.6088781</c:v>
                </c:pt>
                <c:pt idx="19">
                  <c:v>6297642898.3132067</c:v>
                </c:pt>
                <c:pt idx="20">
                  <c:v>6473128813.258666</c:v>
                </c:pt>
                <c:pt idx="21">
                  <c:v>6653879305.6524887</c:v>
                </c:pt>
                <c:pt idx="22">
                  <c:v>6840052312.8181257</c:v>
                </c:pt>
                <c:pt idx="23">
                  <c:v>7031810510.1987314</c:v>
                </c:pt>
                <c:pt idx="24">
                  <c:v>7229321453.5007563</c:v>
                </c:pt>
              </c:numCache>
            </c:numRef>
          </c:val>
          <c:smooth val="0"/>
        </c:ser>
        <c:ser>
          <c:idx val="1"/>
          <c:order val="1"/>
          <c:tx>
            <c:strRef>
              <c:f>'OTDS Tab Calculations'!$A$121</c:f>
              <c:strCache>
                <c:ptCount val="1"/>
                <c:pt idx="0">
                  <c:v>Brazil</c:v>
                </c:pt>
              </c:strCache>
            </c:strRef>
          </c:tx>
          <c:spPr>
            <a:ln>
              <a:solidFill>
                <a:schemeClr val="accent3">
                  <a:lumMod val="75000"/>
                </a:schemeClr>
              </a:solidFill>
            </a:ln>
          </c:spPr>
          <c:marker>
            <c:symbol val="none"/>
          </c:marker>
          <c:cat>
            <c:numRef>
              <c:f>'OTDS Tab Calculations'!$B$119:$Z$119</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Calculations'!$B$121:$Z$121</c:f>
              <c:numCache>
                <c:formatCode>"$"#,##0</c:formatCode>
                <c:ptCount val="25"/>
                <c:pt idx="0">
                  <c:v>16341193150</c:v>
                </c:pt>
                <c:pt idx="1">
                  <c:v>22710165150</c:v>
                </c:pt>
                <c:pt idx="2">
                  <c:v>30060091150</c:v>
                </c:pt>
                <c:pt idx="3">
                  <c:v>27610459150</c:v>
                </c:pt>
                <c:pt idx="4">
                  <c:v>33421571150</c:v>
                </c:pt>
                <c:pt idx="5">
                  <c:v>42755149150</c:v>
                </c:pt>
                <c:pt idx="6">
                  <c:v>41364295150</c:v>
                </c:pt>
                <c:pt idx="7">
                  <c:v>44792417150</c:v>
                </c:pt>
                <c:pt idx="8">
                  <c:v>46108826510</c:v>
                </c:pt>
                <c:pt idx="9">
                  <c:v>47464728150.800003</c:v>
                </c:pt>
                <c:pt idx="10">
                  <c:v>48861306840.824005</c:v>
                </c:pt>
                <c:pt idx="11">
                  <c:v>50299782891.548721</c:v>
                </c:pt>
                <c:pt idx="12">
                  <c:v>51781413223.795181</c:v>
                </c:pt>
                <c:pt idx="13">
                  <c:v>53307492466.009033</c:v>
                </c:pt>
                <c:pt idx="14">
                  <c:v>54879354085.489311</c:v>
                </c:pt>
                <c:pt idx="15">
                  <c:v>56498371553.553993</c:v>
                </c:pt>
                <c:pt idx="16">
                  <c:v>58165959545.660614</c:v>
                </c:pt>
                <c:pt idx="17">
                  <c:v>59883575177.530426</c:v>
                </c:pt>
                <c:pt idx="18">
                  <c:v>61652719278.356339</c:v>
                </c:pt>
                <c:pt idx="19">
                  <c:v>63474937702.207031</c:v>
                </c:pt>
                <c:pt idx="20">
                  <c:v>65351822678.773247</c:v>
                </c:pt>
                <c:pt idx="21">
                  <c:v>67285014204.636444</c:v>
                </c:pt>
                <c:pt idx="22">
                  <c:v>69276201476.275543</c:v>
                </c:pt>
                <c:pt idx="23">
                  <c:v>71327124366.063812</c:v>
                </c:pt>
                <c:pt idx="24">
                  <c:v>73439574942.545715</c:v>
                </c:pt>
              </c:numCache>
            </c:numRef>
          </c:val>
          <c:smooth val="0"/>
        </c:ser>
        <c:ser>
          <c:idx val="2"/>
          <c:order val="2"/>
          <c:tx>
            <c:strRef>
              <c:f>'OTDS Tab Calculations'!$A$122</c:f>
              <c:strCache>
                <c:ptCount val="1"/>
                <c:pt idx="0">
                  <c:v>Canada</c:v>
                </c:pt>
              </c:strCache>
            </c:strRef>
          </c:tx>
          <c:spPr>
            <a:ln>
              <a:solidFill>
                <a:srgbClr val="FFCC66"/>
              </a:solidFill>
            </a:ln>
          </c:spPr>
          <c:marker>
            <c:symbol val="none"/>
          </c:marker>
          <c:cat>
            <c:numRef>
              <c:f>'OTDS Tab Calculations'!$B$119:$Z$119</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Calculations'!$B$122:$Z$122</c:f>
              <c:numCache>
                <c:formatCode>"$"#,##0</c:formatCode>
                <c:ptCount val="25"/>
                <c:pt idx="0">
                  <c:v>5782343191.1017885</c:v>
                </c:pt>
                <c:pt idx="1">
                  <c:v>6260005191.1017885</c:v>
                </c:pt>
                <c:pt idx="2">
                  <c:v>7268794191.1017885</c:v>
                </c:pt>
                <c:pt idx="3">
                  <c:v>6649163191.1017885</c:v>
                </c:pt>
                <c:pt idx="4">
                  <c:v>6687609191.1017885</c:v>
                </c:pt>
                <c:pt idx="5">
                  <c:v>7326502191.1017885</c:v>
                </c:pt>
                <c:pt idx="6">
                  <c:v>7798103191.1017885</c:v>
                </c:pt>
                <c:pt idx="7">
                  <c:v>8182085191.1017885</c:v>
                </c:pt>
                <c:pt idx="8">
                  <c:v>8305422031.1017885</c:v>
                </c:pt>
                <c:pt idx="9">
                  <c:v>8432458976.3017883</c:v>
                </c:pt>
                <c:pt idx="10">
                  <c:v>8563307029.8577881</c:v>
                </c:pt>
                <c:pt idx="11">
                  <c:v>8698080525.0204697</c:v>
                </c:pt>
                <c:pt idx="12">
                  <c:v>8836897225.0380287</c:v>
                </c:pt>
                <c:pt idx="13">
                  <c:v>8979878426.0561161</c:v>
                </c:pt>
                <c:pt idx="14">
                  <c:v>9127149063.1047459</c:v>
                </c:pt>
                <c:pt idx="15">
                  <c:v>9278837819.2648354</c:v>
                </c:pt>
                <c:pt idx="16">
                  <c:v>9435077238.109726</c:v>
                </c:pt>
                <c:pt idx="17">
                  <c:v>9596003839.5199623</c:v>
                </c:pt>
                <c:pt idx="18">
                  <c:v>9761758238.9725075</c:v>
                </c:pt>
                <c:pt idx="19">
                  <c:v>9932485270.4086304</c:v>
                </c:pt>
                <c:pt idx="20">
                  <c:v>10108334112.787834</c:v>
                </c:pt>
                <c:pt idx="21">
                  <c:v>10289458420.438416</c:v>
                </c:pt>
                <c:pt idx="22">
                  <c:v>10476016457.318516</c:v>
                </c:pt>
                <c:pt idx="23">
                  <c:v>10668171235.305017</c:v>
                </c:pt>
                <c:pt idx="24">
                  <c:v>10866090656.631115</c:v>
                </c:pt>
              </c:numCache>
            </c:numRef>
          </c:val>
          <c:smooth val="0"/>
        </c:ser>
        <c:ser>
          <c:idx val="3"/>
          <c:order val="3"/>
          <c:tx>
            <c:strRef>
              <c:f>'OTDS Tab Calculations'!$A$123</c:f>
              <c:strCache>
                <c:ptCount val="1"/>
                <c:pt idx="0">
                  <c:v>China</c:v>
                </c:pt>
              </c:strCache>
            </c:strRef>
          </c:tx>
          <c:spPr>
            <a:ln>
              <a:solidFill>
                <a:schemeClr val="tx2">
                  <a:lumMod val="60000"/>
                  <a:lumOff val="40000"/>
                </a:schemeClr>
              </a:solidFill>
            </a:ln>
          </c:spPr>
          <c:marker>
            <c:symbol val="none"/>
          </c:marker>
          <c:cat>
            <c:numRef>
              <c:f>'OTDS Tab Calculations'!$B$119:$Z$119</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Calculations'!$B$123:$Z$123</c:f>
              <c:numCache>
                <c:formatCode>"$"#,##0</c:formatCode>
                <c:ptCount val="25"/>
                <c:pt idx="0">
                  <c:v>87233609600</c:v>
                </c:pt>
                <c:pt idx="1">
                  <c:v>104454619800</c:v>
                </c:pt>
                <c:pt idx="2">
                  <c:v>130685985300.00002</c:v>
                </c:pt>
                <c:pt idx="3">
                  <c:v>131736575100.00002</c:v>
                </c:pt>
                <c:pt idx="4">
                  <c:v>150826621400</c:v>
                </c:pt>
                <c:pt idx="5">
                  <c:v>195952575700</c:v>
                </c:pt>
                <c:pt idx="6">
                  <c:v>209051862800</c:v>
                </c:pt>
                <c:pt idx="7">
                  <c:v>218381903100.00003</c:v>
                </c:pt>
                <c:pt idx="8">
                  <c:v>224933360193.00003</c:v>
                </c:pt>
                <c:pt idx="9">
                  <c:v>231681360998.79001</c:v>
                </c:pt>
                <c:pt idx="10">
                  <c:v>238631801828.75372</c:v>
                </c:pt>
                <c:pt idx="11">
                  <c:v>245790755883.61636</c:v>
                </c:pt>
                <c:pt idx="12">
                  <c:v>253164478560.12485</c:v>
                </c:pt>
                <c:pt idx="13">
                  <c:v>260759412916.92859</c:v>
                </c:pt>
                <c:pt idx="14">
                  <c:v>268582195304.43643</c:v>
                </c:pt>
                <c:pt idx="15">
                  <c:v>276639661163.56952</c:v>
                </c:pt>
                <c:pt idx="16">
                  <c:v>284938850998.47662</c:v>
                </c:pt>
                <c:pt idx="17">
                  <c:v>293487016528.43097</c:v>
                </c:pt>
                <c:pt idx="18">
                  <c:v>302291627024.28387</c:v>
                </c:pt>
                <c:pt idx="19">
                  <c:v>311360375835.01239</c:v>
                </c:pt>
                <c:pt idx="20">
                  <c:v>320701187110.06274</c:v>
                </c:pt>
                <c:pt idx="21">
                  <c:v>330322222723.36462</c:v>
                </c:pt>
                <c:pt idx="22">
                  <c:v>340231889405.06555</c:v>
                </c:pt>
                <c:pt idx="23">
                  <c:v>350438846087.21753</c:v>
                </c:pt>
                <c:pt idx="24">
                  <c:v>360952011469.83405</c:v>
                </c:pt>
              </c:numCache>
            </c:numRef>
          </c:val>
          <c:smooth val="0"/>
        </c:ser>
        <c:ser>
          <c:idx val="4"/>
          <c:order val="4"/>
          <c:tx>
            <c:strRef>
              <c:f>'OTDS Tab Calculations'!$A$124</c:f>
              <c:strCache>
                <c:ptCount val="1"/>
                <c:pt idx="0">
                  <c:v>European Union</c:v>
                </c:pt>
              </c:strCache>
            </c:strRef>
          </c:tx>
          <c:spPr>
            <a:ln>
              <a:solidFill>
                <a:schemeClr val="accent6"/>
              </a:solidFill>
            </a:ln>
          </c:spPr>
          <c:marker>
            <c:symbol val="none"/>
          </c:marker>
          <c:cat>
            <c:numRef>
              <c:f>'OTDS Tab Calculations'!$B$119:$Z$119</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Calculations'!$B$124:$Z$124</c:f>
              <c:numCache>
                <c:formatCode>"$"#,##0</c:formatCode>
                <c:ptCount val="25"/>
                <c:pt idx="0">
                  <c:v>125135495795.58807</c:v>
                </c:pt>
                <c:pt idx="1">
                  <c:v>131395538795.58807</c:v>
                </c:pt>
                <c:pt idx="2">
                  <c:v>136316061795.58807</c:v>
                </c:pt>
                <c:pt idx="3">
                  <c:v>128273123795.58807</c:v>
                </c:pt>
                <c:pt idx="4">
                  <c:v>129824164795.58807</c:v>
                </c:pt>
                <c:pt idx="5">
                  <c:v>135701684795.58807</c:v>
                </c:pt>
                <c:pt idx="6">
                  <c:v>133145876795.58807</c:v>
                </c:pt>
                <c:pt idx="7">
                  <c:v>135721475795.58807</c:v>
                </c:pt>
                <c:pt idx="8">
                  <c:v>136961809085.58807</c:v>
                </c:pt>
                <c:pt idx="9">
                  <c:v>138239352374.28809</c:v>
                </c:pt>
                <c:pt idx="10">
                  <c:v>139555221961.64908</c:v>
                </c:pt>
                <c:pt idx="11">
                  <c:v>140910567636.63092</c:v>
                </c:pt>
                <c:pt idx="12">
                  <c:v>142306573681.86218</c:v>
                </c:pt>
                <c:pt idx="13">
                  <c:v>143744459908.45041</c:v>
                </c:pt>
                <c:pt idx="14">
                  <c:v>145225482721.8363</c:v>
                </c:pt>
                <c:pt idx="15">
                  <c:v>146750936219.62372</c:v>
                </c:pt>
                <c:pt idx="16">
                  <c:v>148322153322.34479</c:v>
                </c:pt>
                <c:pt idx="17">
                  <c:v>149940506938.14749</c:v>
                </c:pt>
                <c:pt idx="18">
                  <c:v>151607411162.42429</c:v>
                </c:pt>
                <c:pt idx="19">
                  <c:v>153324322513.42938</c:v>
                </c:pt>
                <c:pt idx="20">
                  <c:v>155092741204.9646</c:v>
                </c:pt>
                <c:pt idx="21">
                  <c:v>156914212457.24591</c:v>
                </c:pt>
                <c:pt idx="22">
                  <c:v>158790327847.09564</c:v>
                </c:pt>
                <c:pt idx="23">
                  <c:v>160722726698.64087</c:v>
                </c:pt>
                <c:pt idx="24">
                  <c:v>162713097515.73245</c:v>
                </c:pt>
              </c:numCache>
            </c:numRef>
          </c:val>
          <c:smooth val="0"/>
        </c:ser>
        <c:ser>
          <c:idx val="5"/>
          <c:order val="5"/>
          <c:tx>
            <c:strRef>
              <c:f>'OTDS Tab Calculations'!$A$125</c:f>
              <c:strCache>
                <c:ptCount val="1"/>
                <c:pt idx="0">
                  <c:v>India</c:v>
                </c:pt>
              </c:strCache>
            </c:strRef>
          </c:tx>
          <c:spPr>
            <a:ln>
              <a:solidFill>
                <a:schemeClr val="bg1">
                  <a:lumMod val="50000"/>
                </a:schemeClr>
              </a:solidFill>
            </a:ln>
          </c:spPr>
          <c:marker>
            <c:symbol val="none"/>
          </c:marker>
          <c:cat>
            <c:numRef>
              <c:f>'OTDS Tab Calculations'!$B$119:$Z$119</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Calculations'!$B$125:$Z$125</c:f>
              <c:numCache>
                <c:formatCode>"$"#,##0</c:formatCode>
                <c:ptCount val="25"/>
                <c:pt idx="0">
                  <c:v>31111702000</c:v>
                </c:pt>
                <c:pt idx="1">
                  <c:v>39926360000</c:v>
                </c:pt>
                <c:pt idx="2">
                  <c:v>43012342000</c:v>
                </c:pt>
                <c:pt idx="3">
                  <c:v>41379604000</c:v>
                </c:pt>
                <c:pt idx="4">
                  <c:v>46126178000</c:v>
                </c:pt>
                <c:pt idx="5">
                  <c:v>49472700000</c:v>
                </c:pt>
                <c:pt idx="6">
                  <c:v>47734470000</c:v>
                </c:pt>
                <c:pt idx="7">
                  <c:v>51356354000</c:v>
                </c:pt>
                <c:pt idx="8">
                  <c:v>52897044620</c:v>
                </c:pt>
                <c:pt idx="9">
                  <c:v>54483955958.600006</c:v>
                </c:pt>
                <c:pt idx="10">
                  <c:v>56118474637.358002</c:v>
                </c:pt>
                <c:pt idx="11">
                  <c:v>57802028876.478737</c:v>
                </c:pt>
                <c:pt idx="12">
                  <c:v>59536089742.773102</c:v>
                </c:pt>
                <c:pt idx="13">
                  <c:v>61322172435.05629</c:v>
                </c:pt>
                <c:pt idx="14">
                  <c:v>63161837608.107971</c:v>
                </c:pt>
                <c:pt idx="15">
                  <c:v>65056692736.351212</c:v>
                </c:pt>
                <c:pt idx="16">
                  <c:v>67008393518.44175</c:v>
                </c:pt>
                <c:pt idx="17">
                  <c:v>69018645323.994995</c:v>
                </c:pt>
                <c:pt idx="18">
                  <c:v>71089204683.714844</c:v>
                </c:pt>
                <c:pt idx="19">
                  <c:v>73221880824.226303</c:v>
                </c:pt>
                <c:pt idx="20">
                  <c:v>75418537248.953094</c:v>
                </c:pt>
                <c:pt idx="21">
                  <c:v>77681093366.421677</c:v>
                </c:pt>
                <c:pt idx="22">
                  <c:v>80011526167.414337</c:v>
                </c:pt>
                <c:pt idx="23">
                  <c:v>82411871952.436768</c:v>
                </c:pt>
                <c:pt idx="24">
                  <c:v>84884228111.009872</c:v>
                </c:pt>
              </c:numCache>
            </c:numRef>
          </c:val>
          <c:smooth val="0"/>
        </c:ser>
        <c:ser>
          <c:idx val="6"/>
          <c:order val="6"/>
          <c:tx>
            <c:strRef>
              <c:f>'OTDS Tab Calculations'!$A$126</c:f>
              <c:strCache>
                <c:ptCount val="1"/>
                <c:pt idx="0">
                  <c:v>Indonesia</c:v>
                </c:pt>
              </c:strCache>
            </c:strRef>
          </c:tx>
          <c:spPr>
            <a:ln>
              <a:solidFill>
                <a:srgbClr val="FFFF00"/>
              </a:solidFill>
            </a:ln>
          </c:spPr>
          <c:marker>
            <c:symbol val="none"/>
          </c:marker>
          <c:cat>
            <c:numRef>
              <c:f>'OTDS Tab Calculations'!$B$119:$Z$119</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Calculations'!$B$126:$Z$126</c:f>
              <c:numCache>
                <c:formatCode>"$"#,##0</c:formatCode>
                <c:ptCount val="25"/>
                <c:pt idx="0">
                  <c:v>9216450000</c:v>
                </c:pt>
                <c:pt idx="1">
                  <c:v>10985478000</c:v>
                </c:pt>
                <c:pt idx="2">
                  <c:v>13481302000</c:v>
                </c:pt>
                <c:pt idx="3">
                  <c:v>13559770000.000002</c:v>
                </c:pt>
                <c:pt idx="4">
                  <c:v>18491138000</c:v>
                </c:pt>
                <c:pt idx="5">
                  <c:v>28223174000</c:v>
                </c:pt>
                <c:pt idx="6">
                  <c:v>28859560000</c:v>
                </c:pt>
                <c:pt idx="7">
                  <c:v>25209368000</c:v>
                </c:pt>
                <c:pt idx="8">
                  <c:v>25965649040</c:v>
                </c:pt>
                <c:pt idx="9">
                  <c:v>26744618511.200001</c:v>
                </c:pt>
                <c:pt idx="10">
                  <c:v>27546957066.535999</c:v>
                </c:pt>
                <c:pt idx="11">
                  <c:v>28373365778.532082</c:v>
                </c:pt>
                <c:pt idx="12">
                  <c:v>29224566751.888046</c:v>
                </c:pt>
                <c:pt idx="13">
                  <c:v>30101303754.444687</c:v>
                </c:pt>
                <c:pt idx="14">
                  <c:v>31004342867.07803</c:v>
                </c:pt>
                <c:pt idx="15">
                  <c:v>31934473153.09037</c:v>
                </c:pt>
                <c:pt idx="16">
                  <c:v>32892507347.683083</c:v>
                </c:pt>
                <c:pt idx="17">
                  <c:v>33879282568.113575</c:v>
                </c:pt>
                <c:pt idx="18">
                  <c:v>34895661045.156982</c:v>
                </c:pt>
                <c:pt idx="19">
                  <c:v>35942530876.511696</c:v>
                </c:pt>
                <c:pt idx="20">
                  <c:v>37020806802.807045</c:v>
                </c:pt>
                <c:pt idx="21">
                  <c:v>38131431006.891258</c:v>
                </c:pt>
                <c:pt idx="22">
                  <c:v>39275373937.097992</c:v>
                </c:pt>
                <c:pt idx="23">
                  <c:v>40453635155.21093</c:v>
                </c:pt>
                <c:pt idx="24">
                  <c:v>41667244209.867264</c:v>
                </c:pt>
              </c:numCache>
            </c:numRef>
          </c:val>
          <c:smooth val="0"/>
        </c:ser>
        <c:ser>
          <c:idx val="7"/>
          <c:order val="7"/>
          <c:tx>
            <c:strRef>
              <c:f>'OTDS Tab Calculations'!$A$127</c:f>
              <c:strCache>
                <c:ptCount val="1"/>
                <c:pt idx="0">
                  <c:v>Japan</c:v>
                </c:pt>
              </c:strCache>
            </c:strRef>
          </c:tx>
          <c:spPr>
            <a:ln>
              <a:solidFill>
                <a:schemeClr val="tx1"/>
              </a:solidFill>
            </a:ln>
          </c:spPr>
          <c:marker>
            <c:symbol val="none"/>
          </c:marker>
          <c:cat>
            <c:numRef>
              <c:f>'OTDS Tab Calculations'!$B$119:$Z$119</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Calculations'!$B$127:$Z$127</c:f>
              <c:numCache>
                <c:formatCode>"$"#,##0</c:formatCode>
                <c:ptCount val="25"/>
                <c:pt idx="0">
                  <c:v>46384205111.95343</c:v>
                </c:pt>
                <c:pt idx="1">
                  <c:v>46139829111.95343</c:v>
                </c:pt>
                <c:pt idx="2">
                  <c:v>46988349111.95343</c:v>
                </c:pt>
                <c:pt idx="3">
                  <c:v>47470963111.95343</c:v>
                </c:pt>
                <c:pt idx="4">
                  <c:v>48067160111.95343</c:v>
                </c:pt>
                <c:pt idx="5">
                  <c:v>48491804111.95343</c:v>
                </c:pt>
                <c:pt idx="6">
                  <c:v>48991799111.95343</c:v>
                </c:pt>
                <c:pt idx="7">
                  <c:v>47412534111.95343</c:v>
                </c:pt>
                <c:pt idx="8">
                  <c:v>47625976401.95343</c:v>
                </c:pt>
                <c:pt idx="9">
                  <c:v>47845821960.653427</c:v>
                </c:pt>
                <c:pt idx="10">
                  <c:v>48072262886.114433</c:v>
                </c:pt>
                <c:pt idx="11">
                  <c:v>48305497039.339264</c:v>
                </c:pt>
                <c:pt idx="12">
                  <c:v>48545728217.160835</c:v>
                </c:pt>
                <c:pt idx="13">
                  <c:v>48793166330.317062</c:v>
                </c:pt>
                <c:pt idx="14">
                  <c:v>49048027586.867966</c:v>
                </c:pt>
                <c:pt idx="15">
                  <c:v>49310534681.115402</c:v>
                </c:pt>
                <c:pt idx="16">
                  <c:v>49580916988.190262</c:v>
                </c:pt>
                <c:pt idx="17">
                  <c:v>49859410764.477371</c:v>
                </c:pt>
                <c:pt idx="18">
                  <c:v>50146259354.053085</c:v>
                </c:pt>
                <c:pt idx="19">
                  <c:v>50441713401.316078</c:v>
                </c:pt>
                <c:pt idx="20">
                  <c:v>50746031069.996956</c:v>
                </c:pt>
                <c:pt idx="21">
                  <c:v>51059478268.738266</c:v>
                </c:pt>
                <c:pt idx="22">
                  <c:v>51382328883.441803</c:v>
                </c:pt>
                <c:pt idx="23">
                  <c:v>51714865016.586456</c:v>
                </c:pt>
                <c:pt idx="24">
                  <c:v>52057377233.725449</c:v>
                </c:pt>
              </c:numCache>
            </c:numRef>
          </c:val>
          <c:smooth val="0"/>
        </c:ser>
        <c:ser>
          <c:idx val="8"/>
          <c:order val="8"/>
          <c:tx>
            <c:strRef>
              <c:f>'OTDS Tab Calculations'!$A$128</c:f>
              <c:strCache>
                <c:ptCount val="1"/>
                <c:pt idx="0">
                  <c:v>United States of America</c:v>
                </c:pt>
              </c:strCache>
            </c:strRef>
          </c:tx>
          <c:spPr>
            <a:ln>
              <a:solidFill>
                <a:srgbClr val="C00000"/>
              </a:solidFill>
            </a:ln>
          </c:spPr>
          <c:marker>
            <c:symbol val="none"/>
          </c:marker>
          <c:cat>
            <c:numRef>
              <c:f>'OTDS Tab Calculations'!$B$119:$Z$119</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Calculations'!$B$128:$Z$128</c:f>
              <c:numCache>
                <c:formatCode>"$"#,##0</c:formatCode>
                <c:ptCount val="25"/>
                <c:pt idx="0">
                  <c:v>37275354000</c:v>
                </c:pt>
                <c:pt idx="1">
                  <c:v>43507358000</c:v>
                </c:pt>
                <c:pt idx="2">
                  <c:v>44029063000</c:v>
                </c:pt>
                <c:pt idx="3">
                  <c:v>41804075000</c:v>
                </c:pt>
                <c:pt idx="4">
                  <c:v>46696855000</c:v>
                </c:pt>
                <c:pt idx="5">
                  <c:v>49508893000</c:v>
                </c:pt>
                <c:pt idx="6">
                  <c:v>50668008000</c:v>
                </c:pt>
                <c:pt idx="7">
                  <c:v>50208429000</c:v>
                </c:pt>
                <c:pt idx="8">
                  <c:v>51141681870</c:v>
                </c:pt>
                <c:pt idx="9">
                  <c:v>52102932326.100006</c:v>
                </c:pt>
                <c:pt idx="10">
                  <c:v>53093020295.883003</c:v>
                </c:pt>
                <c:pt idx="11">
                  <c:v>54112810904.759491</c:v>
                </c:pt>
                <c:pt idx="12">
                  <c:v>55163195231.902275</c:v>
                </c:pt>
                <c:pt idx="13">
                  <c:v>56245091088.859344</c:v>
                </c:pt>
                <c:pt idx="14">
                  <c:v>57359443821.525124</c:v>
                </c:pt>
                <c:pt idx="15">
                  <c:v>58507227136.170876</c:v>
                </c:pt>
                <c:pt idx="16">
                  <c:v>59689443950.256004</c:v>
                </c:pt>
                <c:pt idx="17">
                  <c:v>60907127268.76368</c:v>
                </c:pt>
                <c:pt idx="18">
                  <c:v>62161341086.826591</c:v>
                </c:pt>
                <c:pt idx="19">
                  <c:v>63453181319.431389</c:v>
                </c:pt>
                <c:pt idx="20">
                  <c:v>64783776759.014328</c:v>
                </c:pt>
                <c:pt idx="21">
                  <c:v>66154290061.78476</c:v>
                </c:pt>
                <c:pt idx="22">
                  <c:v>67565918763.638298</c:v>
                </c:pt>
                <c:pt idx="23">
                  <c:v>69019896326.547455</c:v>
                </c:pt>
                <c:pt idx="24">
                  <c:v>70517493216.343872</c:v>
                </c:pt>
              </c:numCache>
            </c:numRef>
          </c:val>
          <c:smooth val="0"/>
        </c:ser>
        <c:ser>
          <c:idx val="9"/>
          <c:order val="9"/>
          <c:tx>
            <c:strRef>
              <c:f>'OTDS Tab Calculations'!$A$129</c:f>
              <c:strCache>
                <c:ptCount val="1"/>
                <c:pt idx="0">
                  <c:v>CUSTOM</c:v>
                </c:pt>
              </c:strCache>
            </c:strRef>
          </c:tx>
          <c:spPr>
            <a:ln>
              <a:solidFill>
                <a:schemeClr val="accent5">
                  <a:lumMod val="60000"/>
                  <a:lumOff val="40000"/>
                </a:schemeClr>
              </a:solidFill>
            </a:ln>
          </c:spPr>
          <c:marker>
            <c:symbol val="none"/>
          </c:marker>
          <c:cat>
            <c:numRef>
              <c:f>'OTDS Tab Calculations'!$B$119:$Z$119</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Calculations'!$B$129:$Z$129</c:f>
              <c:numCache>
                <c:formatCode>"$"#,##0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dLbls>
          <c:showLegendKey val="0"/>
          <c:showVal val="0"/>
          <c:showCatName val="0"/>
          <c:showSerName val="0"/>
          <c:showPercent val="0"/>
          <c:showBubbleSize val="0"/>
        </c:dLbls>
        <c:marker val="1"/>
        <c:smooth val="0"/>
        <c:axId val="439713792"/>
        <c:axId val="439715328"/>
      </c:lineChart>
      <c:catAx>
        <c:axId val="439713792"/>
        <c:scaling>
          <c:orientation val="minMax"/>
        </c:scaling>
        <c:delete val="0"/>
        <c:axPos val="b"/>
        <c:numFmt formatCode="General" sourceLinked="1"/>
        <c:majorTickMark val="out"/>
        <c:minorTickMark val="none"/>
        <c:tickLblPos val="nextTo"/>
        <c:crossAx val="439715328"/>
        <c:crosses val="autoZero"/>
        <c:auto val="1"/>
        <c:lblAlgn val="ctr"/>
        <c:lblOffset val="100"/>
        <c:tickLblSkip val="2"/>
        <c:noMultiLvlLbl val="0"/>
      </c:catAx>
      <c:valAx>
        <c:axId val="439715328"/>
        <c:scaling>
          <c:orientation val="minMax"/>
        </c:scaling>
        <c:delete val="0"/>
        <c:axPos val="l"/>
        <c:numFmt formatCode="&quot;$&quot;#,##0" sourceLinked="1"/>
        <c:majorTickMark val="out"/>
        <c:minorTickMark val="none"/>
        <c:tickLblPos val="nextTo"/>
        <c:crossAx val="439713792"/>
        <c:crosses val="autoZero"/>
        <c:crossBetween val="between"/>
        <c:dispUnits>
          <c:builtInUnit val="billions"/>
          <c:dispUnitsLbl>
            <c:layout>
              <c:manualLayout>
                <c:xMode val="edge"/>
                <c:yMode val="edge"/>
                <c:x val="5.636581048914454E-3"/>
                <c:y val="0.28529121165670229"/>
              </c:manualLayout>
            </c:layout>
          </c:dispUnitsLbl>
        </c:dispUnits>
      </c:valAx>
    </c:plotArea>
    <c:legend>
      <c:legendPos val="b"/>
      <c:layout>
        <c:manualLayout>
          <c:xMode val="edge"/>
          <c:yMode val="edge"/>
          <c:x val="2.3174079748749011E-2"/>
          <c:y val="0.78849448372561548"/>
          <c:w val="0.93170827089711039"/>
          <c:h val="0.18956194350941083"/>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OTDS Eligible Spending</a:t>
            </a:r>
          </a:p>
        </c:rich>
      </c:tx>
      <c:layout/>
      <c:overlay val="1"/>
    </c:title>
    <c:autoTitleDeleted val="0"/>
    <c:plotArea>
      <c:layout>
        <c:manualLayout>
          <c:layoutTarget val="inner"/>
          <c:xMode val="edge"/>
          <c:yMode val="edge"/>
          <c:x val="0.12601614115776025"/>
          <c:y val="5.1400554097404488E-2"/>
          <c:w val="0.82428467945612749"/>
          <c:h val="0.64389144065325155"/>
        </c:manualLayout>
      </c:layout>
      <c:lineChart>
        <c:grouping val="standard"/>
        <c:varyColors val="0"/>
        <c:ser>
          <c:idx val="0"/>
          <c:order val="0"/>
          <c:tx>
            <c:strRef>
              <c:f>'OTDS Tab Calculations'!$A$172</c:f>
              <c:strCache>
                <c:ptCount val="1"/>
                <c:pt idx="0">
                  <c:v>Australia</c:v>
                </c:pt>
              </c:strCache>
            </c:strRef>
          </c:tx>
          <c:spPr>
            <a:ln>
              <a:solidFill>
                <a:srgbClr val="FF0000"/>
              </a:solidFill>
            </a:ln>
          </c:spPr>
          <c:marker>
            <c:symbol val="none"/>
          </c:marker>
          <c:cat>
            <c:numRef>
              <c:f>'OTDS Tab Calculations'!$B$171:$Y$171</c:f>
              <c:numCache>
                <c:formatCode>General</c:formatCode>
                <c:ptCount val="2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numCache>
            </c:numRef>
          </c:cat>
          <c:val>
            <c:numRef>
              <c:f>'OTDS Tab Calculations'!$B$172:$Z$172</c:f>
              <c:numCache>
                <c:formatCode>"$"#,##0</c:formatCode>
                <c:ptCount val="25"/>
                <c:pt idx="0">
                  <c:v>166631144.80053294</c:v>
                </c:pt>
                <c:pt idx="1">
                  <c:v>176662877.05188915</c:v>
                </c:pt>
                <c:pt idx="2">
                  <c:v>299175747.1108681</c:v>
                </c:pt>
                <c:pt idx="3">
                  <c:v>129880559</c:v>
                </c:pt>
                <c:pt idx="4">
                  <c:v>56828394</c:v>
                </c:pt>
                <c:pt idx="5">
                  <c:v>90330986</c:v>
                </c:pt>
                <c:pt idx="6">
                  <c:v>260301069</c:v>
                </c:pt>
                <c:pt idx="7">
                  <c:v>277118433</c:v>
                </c:pt>
                <c:pt idx="8">
                  <c:v>203951985</c:v>
                </c:pt>
                <c:pt idx="9">
                  <c:v>210070544.55000001</c:v>
                </c:pt>
                <c:pt idx="10">
                  <c:v>216372660.8865</c:v>
                </c:pt>
                <c:pt idx="11">
                  <c:v>222863840.71309501</c:v>
                </c:pt>
                <c:pt idx="12">
                  <c:v>229549755.93448785</c:v>
                </c:pt>
                <c:pt idx="13">
                  <c:v>236436248.61252248</c:v>
                </c:pt>
                <c:pt idx="14">
                  <c:v>243529336.07089815</c:v>
                </c:pt>
                <c:pt idx="15">
                  <c:v>250835216.15302509</c:v>
                </c:pt>
                <c:pt idx="16">
                  <c:v>258360272.63761583</c:v>
                </c:pt>
                <c:pt idx="17">
                  <c:v>266111080.8167443</c:v>
                </c:pt>
                <c:pt idx="18">
                  <c:v>274094413.24124664</c:v>
                </c:pt>
                <c:pt idx="19">
                  <c:v>282317245.63848406</c:v>
                </c:pt>
                <c:pt idx="20">
                  <c:v>290786763.00763857</c:v>
                </c:pt>
                <c:pt idx="21">
                  <c:v>299510365.89786774</c:v>
                </c:pt>
                <c:pt idx="22">
                  <c:v>308495676.87480378</c:v>
                </c:pt>
                <c:pt idx="23">
                  <c:v>317750547.18104792</c:v>
                </c:pt>
                <c:pt idx="24">
                  <c:v>327283063.59647936</c:v>
                </c:pt>
              </c:numCache>
            </c:numRef>
          </c:val>
          <c:smooth val="0"/>
        </c:ser>
        <c:ser>
          <c:idx val="1"/>
          <c:order val="1"/>
          <c:tx>
            <c:strRef>
              <c:f>'OTDS Tab Calculations'!$A$173</c:f>
              <c:strCache>
                <c:ptCount val="1"/>
                <c:pt idx="0">
                  <c:v>Brazil</c:v>
                </c:pt>
              </c:strCache>
            </c:strRef>
          </c:tx>
          <c:spPr>
            <a:ln>
              <a:solidFill>
                <a:schemeClr val="accent3">
                  <a:lumMod val="75000"/>
                </a:schemeClr>
              </a:solidFill>
            </a:ln>
          </c:spPr>
          <c:marker>
            <c:symbol val="none"/>
          </c:marker>
          <c:cat>
            <c:numRef>
              <c:f>'OTDS Tab Calculations'!$B$171:$Y$171</c:f>
              <c:numCache>
                <c:formatCode>General</c:formatCode>
                <c:ptCount val="2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numCache>
            </c:numRef>
          </c:cat>
          <c:val>
            <c:numRef>
              <c:f>'OTDS Tab Calculations'!$B$173:$Z$173</c:f>
              <c:numCache>
                <c:formatCode>"$"#,##0</c:formatCode>
                <c:ptCount val="25"/>
                <c:pt idx="0">
                  <c:v>1650548500</c:v>
                </c:pt>
                <c:pt idx="1">
                  <c:v>2248036900</c:v>
                </c:pt>
                <c:pt idx="2">
                  <c:v>2737467000</c:v>
                </c:pt>
                <c:pt idx="3">
                  <c:v>2370739100</c:v>
                </c:pt>
                <c:pt idx="4">
                  <c:v>3455756300</c:v>
                </c:pt>
                <c:pt idx="5">
                  <c:v>3641927300</c:v>
                </c:pt>
                <c:pt idx="6">
                  <c:v>2608584500</c:v>
                </c:pt>
                <c:pt idx="7">
                  <c:v>2430165300</c:v>
                </c:pt>
                <c:pt idx="8">
                  <c:v>2669461700</c:v>
                </c:pt>
                <c:pt idx="9">
                  <c:v>2749545551</c:v>
                </c:pt>
                <c:pt idx="10">
                  <c:v>2832031917.5300002</c:v>
                </c:pt>
                <c:pt idx="11">
                  <c:v>2916992875.0559001</c:v>
                </c:pt>
                <c:pt idx="12">
                  <c:v>3004502661.3075771</c:v>
                </c:pt>
                <c:pt idx="13">
                  <c:v>3094637741.1468043</c:v>
                </c:pt>
                <c:pt idx="14">
                  <c:v>3187476873.3812084</c:v>
                </c:pt>
                <c:pt idx="15">
                  <c:v>3283101179.5826445</c:v>
                </c:pt>
                <c:pt idx="16">
                  <c:v>3381594214.9701238</c:v>
                </c:pt>
                <c:pt idx="17">
                  <c:v>3483042041.4192276</c:v>
                </c:pt>
                <c:pt idx="18">
                  <c:v>3587533302.6618042</c:v>
                </c:pt>
                <c:pt idx="19">
                  <c:v>3695159301.7416582</c:v>
                </c:pt>
                <c:pt idx="20">
                  <c:v>3806014080.7939081</c:v>
                </c:pt>
                <c:pt idx="21">
                  <c:v>3920194503.2177253</c:v>
                </c:pt>
                <c:pt idx="22">
                  <c:v>4037800338.3142571</c:v>
                </c:pt>
                <c:pt idx="23">
                  <c:v>4158934348.463685</c:v>
                </c:pt>
                <c:pt idx="24">
                  <c:v>4283702378.9175954</c:v>
                </c:pt>
              </c:numCache>
            </c:numRef>
          </c:val>
          <c:smooth val="0"/>
        </c:ser>
        <c:ser>
          <c:idx val="2"/>
          <c:order val="2"/>
          <c:tx>
            <c:strRef>
              <c:f>'OTDS Tab Calculations'!$A$174</c:f>
              <c:strCache>
                <c:ptCount val="1"/>
                <c:pt idx="0">
                  <c:v>Canada</c:v>
                </c:pt>
              </c:strCache>
            </c:strRef>
          </c:tx>
          <c:spPr>
            <a:ln>
              <a:solidFill>
                <a:srgbClr val="FFC000"/>
              </a:solidFill>
              <a:prstDash val="solid"/>
            </a:ln>
          </c:spPr>
          <c:marker>
            <c:symbol val="none"/>
          </c:marker>
          <c:cat>
            <c:numRef>
              <c:f>'OTDS Tab Calculations'!$B$171:$Y$171</c:f>
              <c:numCache>
                <c:formatCode>General</c:formatCode>
                <c:ptCount val="2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numCache>
            </c:numRef>
          </c:cat>
          <c:val>
            <c:numRef>
              <c:f>'OTDS Tab Calculations'!$B$174:$Z$174</c:f>
              <c:numCache>
                <c:formatCode>"$"#,##0</c:formatCode>
                <c:ptCount val="25"/>
                <c:pt idx="0">
                  <c:v>1939352319.2237749</c:v>
                </c:pt>
                <c:pt idx="1">
                  <c:v>2823318614.7546911</c:v>
                </c:pt>
                <c:pt idx="2">
                  <c:v>3127427100.1676054</c:v>
                </c:pt>
                <c:pt idx="3">
                  <c:v>2570150392.15413</c:v>
                </c:pt>
                <c:pt idx="4">
                  <c:v>2942072190.5485468</c:v>
                </c:pt>
                <c:pt idx="5">
                  <c:v>3016140365.1341271</c:v>
                </c:pt>
                <c:pt idx="6">
                  <c:v>2892232817.525692</c:v>
                </c:pt>
                <c:pt idx="7">
                  <c:v>2978999802.0514627</c:v>
                </c:pt>
                <c:pt idx="8">
                  <c:v>3068369796.1130066</c:v>
                </c:pt>
                <c:pt idx="9">
                  <c:v>3160420889.996397</c:v>
                </c:pt>
                <c:pt idx="10">
                  <c:v>3255233516.6962891</c:v>
                </c:pt>
                <c:pt idx="11">
                  <c:v>3352890522.1971779</c:v>
                </c:pt>
                <c:pt idx="12">
                  <c:v>3453477237.8630934</c:v>
                </c:pt>
                <c:pt idx="13">
                  <c:v>3557081554.9989862</c:v>
                </c:pt>
                <c:pt idx="14">
                  <c:v>3663794001.6489558</c:v>
                </c:pt>
                <c:pt idx="15">
                  <c:v>3773707821.6984243</c:v>
                </c:pt>
                <c:pt idx="16">
                  <c:v>3886919056.3493772</c:v>
                </c:pt>
                <c:pt idx="17">
                  <c:v>4003526628.0398583</c:v>
                </c:pt>
                <c:pt idx="18">
                  <c:v>4123632426.8810539</c:v>
                </c:pt>
                <c:pt idx="19">
                  <c:v>4247341399.6874857</c:v>
                </c:pt>
                <c:pt idx="20">
                  <c:v>4374761641.6781101</c:v>
                </c:pt>
                <c:pt idx="21">
                  <c:v>4506004490.9284534</c:v>
                </c:pt>
                <c:pt idx="22">
                  <c:v>4641184625.6563072</c:v>
                </c:pt>
                <c:pt idx="23">
                  <c:v>4780420164.4259968</c:v>
                </c:pt>
                <c:pt idx="24">
                  <c:v>4923832769.358777</c:v>
                </c:pt>
              </c:numCache>
            </c:numRef>
          </c:val>
          <c:smooth val="0"/>
        </c:ser>
        <c:ser>
          <c:idx val="3"/>
          <c:order val="3"/>
          <c:tx>
            <c:strRef>
              <c:f>'OTDS Tab Calculations'!$A$175</c:f>
              <c:strCache>
                <c:ptCount val="1"/>
                <c:pt idx="0">
                  <c:v>China</c:v>
                </c:pt>
              </c:strCache>
            </c:strRef>
          </c:tx>
          <c:spPr>
            <a:ln>
              <a:solidFill>
                <a:schemeClr val="tx2">
                  <a:lumMod val="60000"/>
                  <a:lumOff val="40000"/>
                </a:schemeClr>
              </a:solidFill>
            </a:ln>
          </c:spPr>
          <c:marker>
            <c:symbol val="none"/>
          </c:marker>
          <c:cat>
            <c:numRef>
              <c:f>'OTDS Tab Calculations'!$B$171:$Y$171</c:f>
              <c:numCache>
                <c:formatCode>General</c:formatCode>
                <c:ptCount val="2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numCache>
            </c:numRef>
          </c:cat>
          <c:val>
            <c:numRef>
              <c:f>'OTDS Tab Calculations'!$B$175:$Z$175</c:f>
              <c:numCache>
                <c:formatCode>"$"#,##0</c:formatCode>
                <c:ptCount val="25"/>
                <c:pt idx="0">
                  <c:v>2009930999</c:v>
                </c:pt>
                <c:pt idx="1">
                  <c:v>5453338325</c:v>
                </c:pt>
                <c:pt idx="2">
                  <c:v>13856225058</c:v>
                </c:pt>
                <c:pt idx="3">
                  <c:v>16418580676</c:v>
                </c:pt>
                <c:pt idx="4">
                  <c:v>18582798362</c:v>
                </c:pt>
                <c:pt idx="5">
                  <c:v>19140282312.860001</c:v>
                </c:pt>
                <c:pt idx="6">
                  <c:v>19714490782.2458</c:v>
                </c:pt>
                <c:pt idx="7">
                  <c:v>20305925505.713173</c:v>
                </c:pt>
                <c:pt idx="8">
                  <c:v>20915103270.884567</c:v>
                </c:pt>
                <c:pt idx="9">
                  <c:v>21542556369.011105</c:v>
                </c:pt>
                <c:pt idx="10">
                  <c:v>22188833060.081436</c:v>
                </c:pt>
                <c:pt idx="11">
                  <c:v>22854498051.883881</c:v>
                </c:pt>
                <c:pt idx="12">
                  <c:v>23540132993.440395</c:v>
                </c:pt>
                <c:pt idx="13">
                  <c:v>24246336983.243607</c:v>
                </c:pt>
                <c:pt idx="14">
                  <c:v>24973727092.740913</c:v>
                </c:pt>
                <c:pt idx="15">
                  <c:v>25722938905.52314</c:v>
                </c:pt>
                <c:pt idx="16">
                  <c:v>26494627072.688835</c:v>
                </c:pt>
                <c:pt idx="17">
                  <c:v>27289465884.869499</c:v>
                </c:pt>
                <c:pt idx="18">
                  <c:v>28108149861.415585</c:v>
                </c:pt>
                <c:pt idx="19">
                  <c:v>28951394357.258053</c:v>
                </c:pt>
                <c:pt idx="20">
                  <c:v>29819936187.975796</c:v>
                </c:pt>
                <c:pt idx="21">
                  <c:v>30714534273.61507</c:v>
                </c:pt>
                <c:pt idx="22">
                  <c:v>31635970301.823521</c:v>
                </c:pt>
                <c:pt idx="23">
                  <c:v>32585049410.878227</c:v>
                </c:pt>
                <c:pt idx="24">
                  <c:v>33562600893.204575</c:v>
                </c:pt>
              </c:numCache>
            </c:numRef>
          </c:val>
          <c:smooth val="0"/>
        </c:ser>
        <c:ser>
          <c:idx val="4"/>
          <c:order val="4"/>
          <c:tx>
            <c:strRef>
              <c:f>'OTDS Tab Calculations'!$A$176</c:f>
              <c:strCache>
                <c:ptCount val="1"/>
                <c:pt idx="0">
                  <c:v>European Union</c:v>
                </c:pt>
              </c:strCache>
            </c:strRef>
          </c:tx>
          <c:spPr>
            <a:ln>
              <a:solidFill>
                <a:schemeClr val="accent6">
                  <a:lumMod val="75000"/>
                </a:schemeClr>
              </a:solidFill>
            </a:ln>
          </c:spPr>
          <c:marker>
            <c:symbol val="none"/>
          </c:marker>
          <c:cat>
            <c:numRef>
              <c:f>'OTDS Tab Calculations'!$B$171:$Y$171</c:f>
              <c:numCache>
                <c:formatCode>General</c:formatCode>
                <c:ptCount val="2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numCache>
            </c:numRef>
          </c:cat>
          <c:val>
            <c:numRef>
              <c:f>'OTDS Tab Calculations'!$B$176:$Z$176</c:f>
              <c:numCache>
                <c:formatCode>"$"#,##0</c:formatCode>
                <c:ptCount val="25"/>
                <c:pt idx="0">
                  <c:v>50130708362.370712</c:v>
                </c:pt>
                <c:pt idx="1">
                  <c:v>45810298562.338905</c:v>
                </c:pt>
                <c:pt idx="2">
                  <c:v>28460491363.558762</c:v>
                </c:pt>
                <c:pt idx="3">
                  <c:v>25010682726.061134</c:v>
                </c:pt>
                <c:pt idx="4">
                  <c:v>20306811423.411617</c:v>
                </c:pt>
                <c:pt idx="5">
                  <c:v>15107751189.974239</c:v>
                </c:pt>
                <c:pt idx="6">
                  <c:v>13772043770.318926</c:v>
                </c:pt>
                <c:pt idx="7">
                  <c:v>13668291978.479477</c:v>
                </c:pt>
                <c:pt idx="8">
                  <c:v>14078340737.83386</c:v>
                </c:pt>
                <c:pt idx="9">
                  <c:v>14500690959.968876</c:v>
                </c:pt>
                <c:pt idx="10">
                  <c:v>14935711688.767944</c:v>
                </c:pt>
                <c:pt idx="11">
                  <c:v>15383783039.430981</c:v>
                </c:pt>
                <c:pt idx="12">
                  <c:v>15845296530.613911</c:v>
                </c:pt>
                <c:pt idx="13">
                  <c:v>16320655426.53233</c:v>
                </c:pt>
                <c:pt idx="14">
                  <c:v>16810275089.3283</c:v>
                </c:pt>
                <c:pt idx="15">
                  <c:v>17314583342.008148</c:v>
                </c:pt>
                <c:pt idx="16">
                  <c:v>17834020842.268394</c:v>
                </c:pt>
                <c:pt idx="17">
                  <c:v>18369041467.536446</c:v>
                </c:pt>
                <c:pt idx="18">
                  <c:v>18920112711.562538</c:v>
                </c:pt>
                <c:pt idx="19">
                  <c:v>19487716092.909416</c:v>
                </c:pt>
                <c:pt idx="20">
                  <c:v>20072347575.696697</c:v>
                </c:pt>
                <c:pt idx="21">
                  <c:v>20674518002.967598</c:v>
                </c:pt>
                <c:pt idx="22">
                  <c:v>21294753543.056625</c:v>
                </c:pt>
                <c:pt idx="23">
                  <c:v>21933596149.348328</c:v>
                </c:pt>
                <c:pt idx="24">
                  <c:v>22591604033.828777</c:v>
                </c:pt>
              </c:numCache>
            </c:numRef>
          </c:val>
          <c:smooth val="0"/>
        </c:ser>
        <c:ser>
          <c:idx val="5"/>
          <c:order val="5"/>
          <c:tx>
            <c:strRef>
              <c:f>'OTDS Tab Calculations'!$A$177</c:f>
              <c:strCache>
                <c:ptCount val="1"/>
                <c:pt idx="0">
                  <c:v>India</c:v>
                </c:pt>
              </c:strCache>
            </c:strRef>
          </c:tx>
          <c:spPr>
            <a:ln>
              <a:solidFill>
                <a:schemeClr val="bg1">
                  <a:lumMod val="50000"/>
                </a:schemeClr>
              </a:solidFill>
            </a:ln>
          </c:spPr>
          <c:marker>
            <c:symbol val="none"/>
          </c:marker>
          <c:cat>
            <c:numRef>
              <c:f>'OTDS Tab Calculations'!$B$171:$Y$171</c:f>
              <c:numCache>
                <c:formatCode>General</c:formatCode>
                <c:ptCount val="2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numCache>
            </c:numRef>
          </c:cat>
          <c:val>
            <c:numRef>
              <c:f>'OTDS Tab Calculations'!$B$177:$Z$177</c:f>
              <c:numCache>
                <c:formatCode>"$"#,##0</c:formatCode>
                <c:ptCount val="25"/>
                <c:pt idx="0">
                  <c:v>1790000</c:v>
                </c:pt>
                <c:pt idx="1">
                  <c:v>0</c:v>
                </c:pt>
                <c:pt idx="2">
                  <c:v>432820000</c:v>
                </c:pt>
                <c:pt idx="3">
                  <c:v>1301260000</c:v>
                </c:pt>
                <c:pt idx="4">
                  <c:v>1730480000</c:v>
                </c:pt>
                <c:pt idx="5">
                  <c:v>2282170000</c:v>
                </c:pt>
                <c:pt idx="6">
                  <c:v>2350635100</c:v>
                </c:pt>
                <c:pt idx="7">
                  <c:v>2421154153</c:v>
                </c:pt>
                <c:pt idx="8">
                  <c:v>2493788777.5900002</c:v>
                </c:pt>
                <c:pt idx="9">
                  <c:v>2568602440.9177003</c:v>
                </c:pt>
                <c:pt idx="10">
                  <c:v>2645660514.1452312</c:v>
                </c:pt>
                <c:pt idx="11">
                  <c:v>2725030329.5695882</c:v>
                </c:pt>
                <c:pt idx="12">
                  <c:v>2806781239.456676</c:v>
                </c:pt>
                <c:pt idx="13">
                  <c:v>2890984676.6403761</c:v>
                </c:pt>
                <c:pt idx="14">
                  <c:v>2977714216.9395876</c:v>
                </c:pt>
                <c:pt idx="15">
                  <c:v>3067045643.4477754</c:v>
                </c:pt>
                <c:pt idx="16">
                  <c:v>3159057012.7512088</c:v>
                </c:pt>
                <c:pt idx="17">
                  <c:v>3253828723.1337452</c:v>
                </c:pt>
                <c:pt idx="18">
                  <c:v>3351443584.8277574</c:v>
                </c:pt>
                <c:pt idx="19">
                  <c:v>3451986892.3725901</c:v>
                </c:pt>
                <c:pt idx="20">
                  <c:v>3555546499.1437678</c:v>
                </c:pt>
                <c:pt idx="21">
                  <c:v>3662212894.1180811</c:v>
                </c:pt>
                <c:pt idx="22">
                  <c:v>3772079280.9416237</c:v>
                </c:pt>
                <c:pt idx="23">
                  <c:v>3885241659.3698726</c:v>
                </c:pt>
                <c:pt idx="24">
                  <c:v>4001798909.1509686</c:v>
                </c:pt>
              </c:numCache>
            </c:numRef>
          </c:val>
          <c:smooth val="0"/>
        </c:ser>
        <c:ser>
          <c:idx val="6"/>
          <c:order val="6"/>
          <c:tx>
            <c:strRef>
              <c:f>'OTDS Tab Calculations'!$A$178</c:f>
              <c:strCache>
                <c:ptCount val="1"/>
                <c:pt idx="0">
                  <c:v>Indonesia</c:v>
                </c:pt>
              </c:strCache>
            </c:strRef>
          </c:tx>
          <c:spPr>
            <a:ln>
              <a:solidFill>
                <a:srgbClr val="FFFF00"/>
              </a:solidFill>
            </a:ln>
          </c:spPr>
          <c:marker>
            <c:symbol val="none"/>
          </c:marker>
          <c:cat>
            <c:numRef>
              <c:f>'OTDS Tab Calculations'!$B$171:$Y$171</c:f>
              <c:numCache>
                <c:formatCode>General</c:formatCode>
                <c:ptCount val="2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numCache>
            </c:numRef>
          </c:cat>
          <c:val>
            <c:numRef>
              <c:f>'OTDS Tab Calculations'!$B$178:$Z$178</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7"/>
          <c:order val="7"/>
          <c:tx>
            <c:strRef>
              <c:f>'OTDS Tab Calculations'!$A$179</c:f>
              <c:strCache>
                <c:ptCount val="1"/>
                <c:pt idx="0">
                  <c:v>Japan</c:v>
                </c:pt>
              </c:strCache>
            </c:strRef>
          </c:tx>
          <c:spPr>
            <a:ln>
              <a:solidFill>
                <a:sysClr val="windowText" lastClr="000000"/>
              </a:solidFill>
            </a:ln>
          </c:spPr>
          <c:marker>
            <c:symbol val="none"/>
          </c:marker>
          <c:cat>
            <c:numRef>
              <c:f>'OTDS Tab Calculations'!$B$171:$Y$171</c:f>
              <c:numCache>
                <c:formatCode>General</c:formatCode>
                <c:ptCount val="2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numCache>
            </c:numRef>
          </c:cat>
          <c:val>
            <c:numRef>
              <c:f>'OTDS Tab Calculations'!$B$179:$Z$179</c:f>
              <c:numCache>
                <c:formatCode>"$"#,##0</c:formatCode>
                <c:ptCount val="25"/>
                <c:pt idx="0">
                  <c:v>5739896352.0922861</c:v>
                </c:pt>
                <c:pt idx="1">
                  <c:v>4568140161.8981361</c:v>
                </c:pt>
                <c:pt idx="2">
                  <c:v>6331214356.9986429</c:v>
                </c:pt>
                <c:pt idx="3">
                  <c:v>7440396417.4832811</c:v>
                </c:pt>
                <c:pt idx="4">
                  <c:v>10274319661.257708</c:v>
                </c:pt>
                <c:pt idx="5">
                  <c:v>10043463289.299847</c:v>
                </c:pt>
                <c:pt idx="6">
                  <c:v>10617130231.302521</c:v>
                </c:pt>
                <c:pt idx="7">
                  <c:v>10935644138.241596</c:v>
                </c:pt>
                <c:pt idx="8">
                  <c:v>11263713462.388845</c:v>
                </c:pt>
                <c:pt idx="9">
                  <c:v>11601624866.260511</c:v>
                </c:pt>
                <c:pt idx="10">
                  <c:v>11949673612.248325</c:v>
                </c:pt>
                <c:pt idx="11">
                  <c:v>12308163820.615776</c:v>
                </c:pt>
                <c:pt idx="12">
                  <c:v>12677408735.234249</c:v>
                </c:pt>
                <c:pt idx="13">
                  <c:v>13057730997.291277</c:v>
                </c:pt>
                <c:pt idx="14">
                  <c:v>13449462927.210014</c:v>
                </c:pt>
                <c:pt idx="15">
                  <c:v>13852946815.026316</c:v>
                </c:pt>
                <c:pt idx="16">
                  <c:v>14268535219.477104</c:v>
                </c:pt>
                <c:pt idx="17">
                  <c:v>14696591276.061417</c:v>
                </c:pt>
                <c:pt idx="18">
                  <c:v>15137489014.34326</c:v>
                </c:pt>
                <c:pt idx="19">
                  <c:v>15591613684.773558</c:v>
                </c:pt>
                <c:pt idx="20">
                  <c:v>16059362095.316765</c:v>
                </c:pt>
                <c:pt idx="21">
                  <c:v>16541142958.176266</c:v>
                </c:pt>
                <c:pt idx="22">
                  <c:v>17037377246.921555</c:v>
                </c:pt>
                <c:pt idx="23">
                  <c:v>17548498564.329201</c:v>
                </c:pt>
                <c:pt idx="24">
                  <c:v>18074953521.259075</c:v>
                </c:pt>
              </c:numCache>
            </c:numRef>
          </c:val>
          <c:smooth val="0"/>
        </c:ser>
        <c:ser>
          <c:idx val="8"/>
          <c:order val="8"/>
          <c:tx>
            <c:strRef>
              <c:f>'OTDS Tab Calculations'!$A$180</c:f>
              <c:strCache>
                <c:ptCount val="1"/>
                <c:pt idx="0">
                  <c:v>United States of America</c:v>
                </c:pt>
              </c:strCache>
            </c:strRef>
          </c:tx>
          <c:spPr>
            <a:ln>
              <a:solidFill>
                <a:schemeClr val="accent2">
                  <a:lumMod val="75000"/>
                </a:schemeClr>
              </a:solidFill>
            </a:ln>
          </c:spPr>
          <c:marker>
            <c:symbol val="none"/>
          </c:marker>
          <c:cat>
            <c:numRef>
              <c:f>'OTDS Tab Calculations'!$B$171:$Y$171</c:f>
              <c:numCache>
                <c:formatCode>General</c:formatCode>
                <c:ptCount val="2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numCache>
            </c:numRef>
          </c:cat>
          <c:val>
            <c:numRef>
              <c:f>'OTDS Tab Calculations'!$B$180:$Z$180</c:f>
              <c:numCache>
                <c:formatCode>"$"#,##0</c:formatCode>
                <c:ptCount val="25"/>
                <c:pt idx="0">
                  <c:v>11343212000</c:v>
                </c:pt>
                <c:pt idx="1">
                  <c:v>8519584000</c:v>
                </c:pt>
                <c:pt idx="2">
                  <c:v>15636405000</c:v>
                </c:pt>
                <c:pt idx="3">
                  <c:v>12123814000</c:v>
                </c:pt>
                <c:pt idx="4">
                  <c:v>9784248000</c:v>
                </c:pt>
                <c:pt idx="5">
                  <c:v>14368353000</c:v>
                </c:pt>
                <c:pt idx="6">
                  <c:v>12135103000</c:v>
                </c:pt>
                <c:pt idx="7">
                  <c:v>12499156090</c:v>
                </c:pt>
                <c:pt idx="8">
                  <c:v>12874130772.700001</c:v>
                </c:pt>
                <c:pt idx="9">
                  <c:v>13260354695.881001</c:v>
                </c:pt>
                <c:pt idx="10">
                  <c:v>13658165336.757431</c:v>
                </c:pt>
                <c:pt idx="11">
                  <c:v>14067910296.860153</c:v>
                </c:pt>
                <c:pt idx="12">
                  <c:v>14489947605.765957</c:v>
                </c:pt>
                <c:pt idx="13">
                  <c:v>14924646033.938936</c:v>
                </c:pt>
                <c:pt idx="14">
                  <c:v>15372385414.957104</c:v>
                </c:pt>
                <c:pt idx="15">
                  <c:v>15833556977.405817</c:v>
                </c:pt>
                <c:pt idx="16">
                  <c:v>16308563686.727991</c:v>
                </c:pt>
                <c:pt idx="17">
                  <c:v>16797820597.32983</c:v>
                </c:pt>
                <c:pt idx="18">
                  <c:v>17301755215.249725</c:v>
                </c:pt>
                <c:pt idx="19">
                  <c:v>17820807871.707218</c:v>
                </c:pt>
                <c:pt idx="20">
                  <c:v>18355432107.858437</c:v>
                </c:pt>
                <c:pt idx="21">
                  <c:v>18906095071.094189</c:v>
                </c:pt>
                <c:pt idx="22">
                  <c:v>19473277923.227013</c:v>
                </c:pt>
                <c:pt idx="23">
                  <c:v>20057476260.923824</c:v>
                </c:pt>
                <c:pt idx="24">
                  <c:v>20659200548.751537</c:v>
                </c:pt>
              </c:numCache>
            </c:numRef>
          </c:val>
          <c:smooth val="0"/>
        </c:ser>
        <c:ser>
          <c:idx val="9"/>
          <c:order val="9"/>
          <c:tx>
            <c:strRef>
              <c:f>'OTDS Tab Calculations'!$A$181</c:f>
              <c:strCache>
                <c:ptCount val="1"/>
                <c:pt idx="0">
                  <c:v>CUSTOM</c:v>
                </c:pt>
              </c:strCache>
            </c:strRef>
          </c:tx>
          <c:spPr>
            <a:ln>
              <a:solidFill>
                <a:schemeClr val="accent5">
                  <a:lumMod val="60000"/>
                  <a:lumOff val="40000"/>
                </a:schemeClr>
              </a:solidFill>
            </a:ln>
          </c:spPr>
          <c:marker>
            <c:symbol val="none"/>
          </c:marker>
          <c:cat>
            <c:numRef>
              <c:f>'OTDS Tab Calculations'!$B$171:$Y$171</c:f>
              <c:numCache>
                <c:formatCode>General</c:formatCode>
                <c:ptCount val="2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numCache>
            </c:numRef>
          </c:cat>
          <c:val>
            <c:numRef>
              <c:f>'OTDS Tab Calculations'!$B$181:$Z$181</c:f>
              <c:numCache>
                <c:formatCode>"$"#,##0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dLbls>
          <c:showLegendKey val="0"/>
          <c:showVal val="0"/>
          <c:showCatName val="0"/>
          <c:showSerName val="0"/>
          <c:showPercent val="0"/>
          <c:showBubbleSize val="0"/>
        </c:dLbls>
        <c:marker val="1"/>
        <c:smooth val="0"/>
        <c:axId val="439534720"/>
        <c:axId val="439536256"/>
      </c:lineChart>
      <c:catAx>
        <c:axId val="439534720"/>
        <c:scaling>
          <c:orientation val="minMax"/>
        </c:scaling>
        <c:delete val="0"/>
        <c:axPos val="b"/>
        <c:numFmt formatCode="General" sourceLinked="1"/>
        <c:majorTickMark val="out"/>
        <c:minorTickMark val="none"/>
        <c:tickLblPos val="nextTo"/>
        <c:crossAx val="439536256"/>
        <c:crosses val="autoZero"/>
        <c:auto val="1"/>
        <c:lblAlgn val="ctr"/>
        <c:lblOffset val="100"/>
        <c:tickLblSkip val="2"/>
        <c:noMultiLvlLbl val="0"/>
      </c:catAx>
      <c:valAx>
        <c:axId val="439536256"/>
        <c:scaling>
          <c:orientation val="minMax"/>
        </c:scaling>
        <c:delete val="0"/>
        <c:axPos val="l"/>
        <c:numFmt formatCode="&quot;$&quot;#,##0.0" sourceLinked="0"/>
        <c:majorTickMark val="out"/>
        <c:minorTickMark val="none"/>
        <c:tickLblPos val="nextTo"/>
        <c:crossAx val="439534720"/>
        <c:crosses val="autoZero"/>
        <c:crossBetween val="between"/>
        <c:dispUnits>
          <c:builtInUnit val="billions"/>
          <c:dispUnitsLbl>
            <c:layout>
              <c:manualLayout>
                <c:xMode val="edge"/>
                <c:yMode val="edge"/>
                <c:x val="2.3432923257176334E-2"/>
                <c:y val="0.35695610965296004"/>
              </c:manualLayout>
            </c:layout>
          </c:dispUnitsLbl>
        </c:dispUnits>
      </c:valAx>
    </c:plotArea>
    <c:legend>
      <c:legendPos val="r"/>
      <c:layout>
        <c:manualLayout>
          <c:xMode val="edge"/>
          <c:yMode val="edge"/>
          <c:x val="4.3537264344593131E-2"/>
          <c:y val="0.78491698985388025"/>
          <c:w val="0.93302981239823057"/>
          <c:h val="0.21424530888862769"/>
        </c:manualLayout>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United States</a:t>
            </a:r>
            <a:r>
              <a:rPr lang="en-AU" baseline="0"/>
              <a:t> of America</a:t>
            </a:r>
            <a:endParaRPr lang="en-AU"/>
          </a:p>
        </c:rich>
      </c:tx>
      <c:layout/>
      <c:overlay val="1"/>
    </c:title>
    <c:autoTitleDeleted val="0"/>
    <c:plotArea>
      <c:layout>
        <c:manualLayout>
          <c:layoutTarget val="inner"/>
          <c:xMode val="edge"/>
          <c:yMode val="edge"/>
          <c:x val="0.13619706911636045"/>
          <c:y val="5.1400554097404488E-2"/>
          <c:w val="0.83299650043744533"/>
          <c:h val="0.63319845435987165"/>
        </c:manualLayout>
      </c:layout>
      <c:areaChart>
        <c:grouping val="standard"/>
        <c:varyColors val="0"/>
        <c:ser>
          <c:idx val="4"/>
          <c:order val="0"/>
          <c:tx>
            <c:v>Water Remaining</c:v>
          </c:tx>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Calculations'!$C$101:$AA$101</c:f>
              <c:numCache>
                <c:formatCode>"$"#,##0</c:formatCode>
                <c:ptCount val="25"/>
                <c:pt idx="0">
                  <c:v>37275354000</c:v>
                </c:pt>
                <c:pt idx="1">
                  <c:v>43507358000</c:v>
                </c:pt>
                <c:pt idx="2">
                  <c:v>44029063000</c:v>
                </c:pt>
                <c:pt idx="3">
                  <c:v>41804075000</c:v>
                </c:pt>
                <c:pt idx="4">
                  <c:v>46696855000</c:v>
                </c:pt>
                <c:pt idx="5">
                  <c:v>49508893000</c:v>
                </c:pt>
                <c:pt idx="6">
                  <c:v>50668008000</c:v>
                </c:pt>
                <c:pt idx="7">
                  <c:v>50208429000</c:v>
                </c:pt>
                <c:pt idx="8">
                  <c:v>51141681870</c:v>
                </c:pt>
                <c:pt idx="9">
                  <c:v>52102932326.100006</c:v>
                </c:pt>
                <c:pt idx="10">
                  <c:v>53093020295.883003</c:v>
                </c:pt>
                <c:pt idx="11">
                  <c:v>54112810904.759491</c:v>
                </c:pt>
                <c:pt idx="12">
                  <c:v>55163195231.902275</c:v>
                </c:pt>
                <c:pt idx="13">
                  <c:v>56245091088.859344</c:v>
                </c:pt>
                <c:pt idx="14">
                  <c:v>57359443821.525124</c:v>
                </c:pt>
                <c:pt idx="15">
                  <c:v>58507227136.170876</c:v>
                </c:pt>
                <c:pt idx="16">
                  <c:v>59689443950.256004</c:v>
                </c:pt>
                <c:pt idx="17">
                  <c:v>60907127268.76368</c:v>
                </c:pt>
                <c:pt idx="18">
                  <c:v>62161341086.826591</c:v>
                </c:pt>
                <c:pt idx="19">
                  <c:v>63453181319.431389</c:v>
                </c:pt>
                <c:pt idx="20">
                  <c:v>64783776759.014328</c:v>
                </c:pt>
                <c:pt idx="21">
                  <c:v>66154290061.78476</c:v>
                </c:pt>
                <c:pt idx="22">
                  <c:v>67565918763.638298</c:v>
                </c:pt>
                <c:pt idx="23">
                  <c:v>69019896326.547455</c:v>
                </c:pt>
                <c:pt idx="24">
                  <c:v>70517493216.343872</c:v>
                </c:pt>
              </c:numCache>
            </c:numRef>
          </c:val>
        </c:ser>
        <c:ser>
          <c:idx val="5"/>
          <c:order val="1"/>
          <c:tx>
            <c:v>Water Cut</c:v>
          </c:tx>
          <c:spPr>
            <a:solidFill>
              <a:srgbClr val="FF0000">
                <a:alpha val="43000"/>
              </a:srgbClr>
            </a:solid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Calculations'!$C$101:$AA$101</c:f>
              <c:numCache>
                <c:formatCode>"$"#,##0</c:formatCode>
                <c:ptCount val="25"/>
                <c:pt idx="0">
                  <c:v>37275354000</c:v>
                </c:pt>
                <c:pt idx="1">
                  <c:v>43507358000</c:v>
                </c:pt>
                <c:pt idx="2">
                  <c:v>44029063000</c:v>
                </c:pt>
                <c:pt idx="3">
                  <c:v>41804075000</c:v>
                </c:pt>
                <c:pt idx="4">
                  <c:v>46696855000</c:v>
                </c:pt>
                <c:pt idx="5">
                  <c:v>49508893000</c:v>
                </c:pt>
                <c:pt idx="6">
                  <c:v>50668008000</c:v>
                </c:pt>
                <c:pt idx="7">
                  <c:v>50208429000</c:v>
                </c:pt>
                <c:pt idx="8">
                  <c:v>51141681870</c:v>
                </c:pt>
                <c:pt idx="9">
                  <c:v>52102932326.100006</c:v>
                </c:pt>
                <c:pt idx="10">
                  <c:v>53093020295.883003</c:v>
                </c:pt>
                <c:pt idx="11">
                  <c:v>54112810904.759491</c:v>
                </c:pt>
                <c:pt idx="12">
                  <c:v>55163195231.902275</c:v>
                </c:pt>
                <c:pt idx="13">
                  <c:v>56245091088.859344</c:v>
                </c:pt>
                <c:pt idx="14">
                  <c:v>57359443821.525124</c:v>
                </c:pt>
                <c:pt idx="15">
                  <c:v>58507227136.170876</c:v>
                </c:pt>
                <c:pt idx="16">
                  <c:v>59689443950.256004</c:v>
                </c:pt>
                <c:pt idx="17">
                  <c:v>60907127268.76368</c:v>
                </c:pt>
                <c:pt idx="18">
                  <c:v>62161341086.826591</c:v>
                </c:pt>
                <c:pt idx="19">
                  <c:v>63453181319.431389</c:v>
                </c:pt>
                <c:pt idx="20">
                  <c:v>64783776759.014328</c:v>
                </c:pt>
                <c:pt idx="21">
                  <c:v>66154290061.78476</c:v>
                </c:pt>
                <c:pt idx="22">
                  <c:v>67565918763.638298</c:v>
                </c:pt>
                <c:pt idx="23">
                  <c:v>69019896326.547455</c:v>
                </c:pt>
                <c:pt idx="24">
                  <c:v>70517493216.343872</c:v>
                </c:pt>
              </c:numCache>
            </c:numRef>
          </c:val>
        </c:ser>
        <c:ser>
          <c:idx val="1"/>
          <c:order val="2"/>
          <c:spPr>
            <a:blipFill>
              <a:blip xmlns:r="http://schemas.openxmlformats.org/officeDocument/2006/relationships" r:embed="rId1"/>
              <a:tile tx="0" ty="0" sx="100000" sy="100000" flip="none" algn="tl"/>
            </a:blipFill>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Calculations'!$B$267:$Z$267</c:f>
              <c:numCache>
                <c:formatCode>_("$"* #,##0.00_);_("$"* \(#,##0.00\);_("$"* "-"??_);_(@_)</c:formatCode>
                <c:ptCount val="25"/>
                <c:pt idx="0">
                  <c:v>37275354000</c:v>
                </c:pt>
                <c:pt idx="1">
                  <c:v>43507358000</c:v>
                </c:pt>
                <c:pt idx="2">
                  <c:v>44029063000</c:v>
                </c:pt>
                <c:pt idx="3">
                  <c:v>41804075000</c:v>
                </c:pt>
                <c:pt idx="4">
                  <c:v>46696855000</c:v>
                </c:pt>
                <c:pt idx="5">
                  <c:v>49508893000</c:v>
                </c:pt>
                <c:pt idx="6">
                  <c:v>50668008000</c:v>
                </c:pt>
                <c:pt idx="7">
                  <c:v>50208429000</c:v>
                </c:pt>
                <c:pt idx="8">
                  <c:v>51141681870</c:v>
                </c:pt>
                <c:pt idx="9">
                  <c:v>52102932326.100006</c:v>
                </c:pt>
                <c:pt idx="10">
                  <c:v>53093020295.883003</c:v>
                </c:pt>
                <c:pt idx="11">
                  <c:v>54112810904.759491</c:v>
                </c:pt>
                <c:pt idx="12">
                  <c:v>55163195231.902275</c:v>
                </c:pt>
                <c:pt idx="13">
                  <c:v>56245091088.859344</c:v>
                </c:pt>
                <c:pt idx="14">
                  <c:v>57359443821.525124</c:v>
                </c:pt>
                <c:pt idx="15">
                  <c:v>58507227136.170876</c:v>
                </c:pt>
                <c:pt idx="16">
                  <c:v>59689443950.256004</c:v>
                </c:pt>
                <c:pt idx="17">
                  <c:v>60907127268.76368</c:v>
                </c:pt>
                <c:pt idx="18">
                  <c:v>62161341086.826591</c:v>
                </c:pt>
                <c:pt idx="19">
                  <c:v>63453181319.431389</c:v>
                </c:pt>
                <c:pt idx="20">
                  <c:v>64783776759.014328</c:v>
                </c:pt>
                <c:pt idx="21">
                  <c:v>66154290061.78476</c:v>
                </c:pt>
                <c:pt idx="22">
                  <c:v>67565918763.638298</c:v>
                </c:pt>
                <c:pt idx="23">
                  <c:v>69019896326.547455</c:v>
                </c:pt>
                <c:pt idx="24">
                  <c:v>70517493216.343872</c:v>
                </c:pt>
              </c:numCache>
            </c:numRef>
          </c:val>
        </c:ser>
        <c:ser>
          <c:idx val="0"/>
          <c:order val="3"/>
          <c:tx>
            <c:v>Spending</c:v>
          </c:tx>
          <c:spPr>
            <a:solidFill>
              <a:srgbClr val="FF0000"/>
            </a:solidFill>
            <a:ln w="25400">
              <a:noFill/>
            </a:ln>
          </c:spPr>
          <c:cat>
            <c:numRef>
              <c:f>'OTDS Tab Calculations'!$B$258:$Z$258</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'OTDS Tab Calculations'!$C$89:$AA$89</c:f>
              <c:numCache>
                <c:formatCode>"$"#,##0</c:formatCode>
                <c:ptCount val="25"/>
                <c:pt idx="0">
                  <c:v>11343212000</c:v>
                </c:pt>
                <c:pt idx="1">
                  <c:v>8519584000</c:v>
                </c:pt>
                <c:pt idx="2">
                  <c:v>15636405000</c:v>
                </c:pt>
                <c:pt idx="3">
                  <c:v>12123814000</c:v>
                </c:pt>
                <c:pt idx="4">
                  <c:v>9784248000</c:v>
                </c:pt>
                <c:pt idx="5">
                  <c:v>14368353000</c:v>
                </c:pt>
                <c:pt idx="6">
                  <c:v>12135103000</c:v>
                </c:pt>
                <c:pt idx="7">
                  <c:v>12499156090</c:v>
                </c:pt>
                <c:pt idx="8">
                  <c:v>12874130772.700001</c:v>
                </c:pt>
                <c:pt idx="9">
                  <c:v>13260354695.881001</c:v>
                </c:pt>
                <c:pt idx="10">
                  <c:v>13658165336.757431</c:v>
                </c:pt>
                <c:pt idx="11">
                  <c:v>14067910296.860153</c:v>
                </c:pt>
                <c:pt idx="12">
                  <c:v>14489947605.765957</c:v>
                </c:pt>
                <c:pt idx="13">
                  <c:v>14924646033.938936</c:v>
                </c:pt>
                <c:pt idx="14">
                  <c:v>15372385414.957104</c:v>
                </c:pt>
                <c:pt idx="15">
                  <c:v>15833556977.405817</c:v>
                </c:pt>
                <c:pt idx="16">
                  <c:v>16308563686.727991</c:v>
                </c:pt>
                <c:pt idx="17">
                  <c:v>16797820597.32983</c:v>
                </c:pt>
                <c:pt idx="18">
                  <c:v>17301755215.249725</c:v>
                </c:pt>
                <c:pt idx="19">
                  <c:v>17820807871.707218</c:v>
                </c:pt>
                <c:pt idx="20">
                  <c:v>18355432107.858437</c:v>
                </c:pt>
                <c:pt idx="21">
                  <c:v>18906095071.094189</c:v>
                </c:pt>
                <c:pt idx="22">
                  <c:v>19473277923.227013</c:v>
                </c:pt>
                <c:pt idx="23">
                  <c:v>20057476260.923824</c:v>
                </c:pt>
                <c:pt idx="24">
                  <c:v>20659200548.751537</c:v>
                </c:pt>
              </c:numCache>
            </c:numRef>
          </c:val>
        </c:ser>
        <c:dLbls>
          <c:showLegendKey val="0"/>
          <c:showVal val="0"/>
          <c:showCatName val="0"/>
          <c:showSerName val="0"/>
          <c:showPercent val="0"/>
          <c:showBubbleSize val="0"/>
        </c:dLbls>
        <c:axId val="518177152"/>
        <c:axId val="518179456"/>
      </c:areaChart>
      <c:lineChart>
        <c:grouping val="standard"/>
        <c:varyColors val="0"/>
        <c:ser>
          <c:idx val="3"/>
          <c:order val="4"/>
          <c:tx>
            <c:v>Existing Limit</c:v>
          </c:tx>
          <c:spPr>
            <a:ln>
              <a:solidFill>
                <a:schemeClr val="tx1"/>
              </a:solidFill>
            </a:ln>
          </c:spPr>
          <c:marker>
            <c:symbol val="none"/>
          </c:marker>
          <c:val>
            <c:numRef>
              <c:f>'OTDS Tab Calculations'!$C$101:$AA$101</c:f>
              <c:numCache>
                <c:formatCode>"$"#,##0</c:formatCode>
                <c:ptCount val="25"/>
                <c:pt idx="0">
                  <c:v>37275354000</c:v>
                </c:pt>
                <c:pt idx="1">
                  <c:v>43507358000</c:v>
                </c:pt>
                <c:pt idx="2">
                  <c:v>44029063000</c:v>
                </c:pt>
                <c:pt idx="3">
                  <c:v>41804075000</c:v>
                </c:pt>
                <c:pt idx="4">
                  <c:v>46696855000</c:v>
                </c:pt>
                <c:pt idx="5">
                  <c:v>49508893000</c:v>
                </c:pt>
                <c:pt idx="6">
                  <c:v>50668008000</c:v>
                </c:pt>
                <c:pt idx="7">
                  <c:v>50208429000</c:v>
                </c:pt>
                <c:pt idx="8">
                  <c:v>51141681870</c:v>
                </c:pt>
                <c:pt idx="9">
                  <c:v>52102932326.100006</c:v>
                </c:pt>
                <c:pt idx="10">
                  <c:v>53093020295.883003</c:v>
                </c:pt>
                <c:pt idx="11">
                  <c:v>54112810904.759491</c:v>
                </c:pt>
                <c:pt idx="12">
                  <c:v>55163195231.902275</c:v>
                </c:pt>
                <c:pt idx="13">
                  <c:v>56245091088.859344</c:v>
                </c:pt>
                <c:pt idx="14">
                  <c:v>57359443821.525124</c:v>
                </c:pt>
                <c:pt idx="15">
                  <c:v>58507227136.170876</c:v>
                </c:pt>
                <c:pt idx="16">
                  <c:v>59689443950.256004</c:v>
                </c:pt>
                <c:pt idx="17">
                  <c:v>60907127268.76368</c:v>
                </c:pt>
                <c:pt idx="18">
                  <c:v>62161341086.826591</c:v>
                </c:pt>
                <c:pt idx="19">
                  <c:v>63453181319.431389</c:v>
                </c:pt>
                <c:pt idx="20">
                  <c:v>64783776759.014328</c:v>
                </c:pt>
                <c:pt idx="21">
                  <c:v>66154290061.78476</c:v>
                </c:pt>
                <c:pt idx="22">
                  <c:v>67565918763.638298</c:v>
                </c:pt>
                <c:pt idx="23">
                  <c:v>69019896326.547455</c:v>
                </c:pt>
                <c:pt idx="24">
                  <c:v>70517493216.343872</c:v>
                </c:pt>
              </c:numCache>
            </c:numRef>
          </c:val>
          <c:smooth val="0"/>
        </c:ser>
        <c:ser>
          <c:idx val="2"/>
          <c:order val="5"/>
          <c:tx>
            <c:v>OTDS</c:v>
          </c:tx>
          <c:spPr>
            <a:ln>
              <a:solidFill>
                <a:srgbClr val="FFFF00"/>
              </a:solidFill>
              <a:prstDash val="dash"/>
            </a:ln>
          </c:spPr>
          <c:marker>
            <c:symbol val="none"/>
          </c:marker>
          <c:val>
            <c:numRef>
              <c:f>'OTDS Tab Calculations'!$C$76:$AA$76</c:f>
              <c:numCache>
                <c:formatCode>"$"#,##0</c:formatCode>
                <c:ptCount val="25"/>
                <c:pt idx="0">
                  <c:v>37275354000</c:v>
                </c:pt>
                <c:pt idx="1">
                  <c:v>43507358000</c:v>
                </c:pt>
                <c:pt idx="2">
                  <c:v>44029063000</c:v>
                </c:pt>
                <c:pt idx="3">
                  <c:v>41804075000</c:v>
                </c:pt>
                <c:pt idx="4">
                  <c:v>46696855000</c:v>
                </c:pt>
                <c:pt idx="5">
                  <c:v>49508893000</c:v>
                </c:pt>
                <c:pt idx="6">
                  <c:v>50668008000</c:v>
                </c:pt>
                <c:pt idx="7">
                  <c:v>50208429000</c:v>
                </c:pt>
                <c:pt idx="8">
                  <c:v>51141681870</c:v>
                </c:pt>
                <c:pt idx="9">
                  <c:v>52102932326.100006</c:v>
                </c:pt>
                <c:pt idx="10">
                  <c:v>53093020295.883003</c:v>
                </c:pt>
                <c:pt idx="11">
                  <c:v>54112810904.759491</c:v>
                </c:pt>
                <c:pt idx="12">
                  <c:v>55163195231.902275</c:v>
                </c:pt>
                <c:pt idx="13">
                  <c:v>56245091088.859344</c:v>
                </c:pt>
                <c:pt idx="14">
                  <c:v>57359443821.525124</c:v>
                </c:pt>
                <c:pt idx="15">
                  <c:v>58507227136.170876</c:v>
                </c:pt>
                <c:pt idx="16">
                  <c:v>59689443950.256004</c:v>
                </c:pt>
                <c:pt idx="17">
                  <c:v>60907127268.76368</c:v>
                </c:pt>
                <c:pt idx="18">
                  <c:v>62161341086.826591</c:v>
                </c:pt>
                <c:pt idx="19">
                  <c:v>63453181319.431389</c:v>
                </c:pt>
                <c:pt idx="20">
                  <c:v>64783776759.014328</c:v>
                </c:pt>
                <c:pt idx="21">
                  <c:v>66154290061.78476</c:v>
                </c:pt>
                <c:pt idx="22">
                  <c:v>67565918763.638298</c:v>
                </c:pt>
                <c:pt idx="23">
                  <c:v>69019896326.547455</c:v>
                </c:pt>
                <c:pt idx="24">
                  <c:v>70517493216.343872</c:v>
                </c:pt>
              </c:numCache>
            </c:numRef>
          </c:val>
          <c:smooth val="0"/>
        </c:ser>
        <c:dLbls>
          <c:showLegendKey val="0"/>
          <c:showVal val="0"/>
          <c:showCatName val="0"/>
          <c:showSerName val="0"/>
          <c:showPercent val="0"/>
          <c:showBubbleSize val="0"/>
        </c:dLbls>
        <c:marker val="1"/>
        <c:smooth val="0"/>
        <c:axId val="518177152"/>
        <c:axId val="518179456"/>
      </c:lineChart>
      <c:catAx>
        <c:axId val="518177152"/>
        <c:scaling>
          <c:orientation val="minMax"/>
        </c:scaling>
        <c:delete val="0"/>
        <c:axPos val="b"/>
        <c:numFmt formatCode="General" sourceLinked="1"/>
        <c:majorTickMark val="out"/>
        <c:minorTickMark val="none"/>
        <c:tickLblPos val="nextTo"/>
        <c:crossAx val="518179456"/>
        <c:crosses val="autoZero"/>
        <c:auto val="1"/>
        <c:lblAlgn val="ctr"/>
        <c:lblOffset val="100"/>
        <c:noMultiLvlLbl val="0"/>
      </c:catAx>
      <c:valAx>
        <c:axId val="518179456"/>
        <c:scaling>
          <c:orientation val="minMax"/>
        </c:scaling>
        <c:delete val="0"/>
        <c:axPos val="l"/>
        <c:numFmt formatCode="&quot;$&quot;#,##0" sourceLinked="1"/>
        <c:majorTickMark val="out"/>
        <c:minorTickMark val="none"/>
        <c:tickLblPos val="nextTo"/>
        <c:crossAx val="518177152"/>
        <c:crossesAt val="1"/>
        <c:crossBetween val="between"/>
        <c:dispUnits>
          <c:builtInUnit val="billions"/>
          <c:dispUnitsLbl>
            <c:layout>
              <c:manualLayout>
                <c:xMode val="edge"/>
                <c:yMode val="edge"/>
                <c:x val="5.3057742782152235E-3"/>
                <c:y val="0.30603018372703411"/>
              </c:manualLayout>
            </c:layout>
          </c:dispUnitsLbl>
        </c:dispUnits>
      </c:valAx>
    </c:plotArea>
    <c:legend>
      <c:legendPos val="r"/>
      <c:legendEntry>
        <c:idx val="0"/>
        <c:delete val="1"/>
      </c:legendEntry>
      <c:legendEntry>
        <c:idx val="2"/>
        <c:delete val="1"/>
      </c:legendEntry>
      <c:layout>
        <c:manualLayout>
          <c:xMode val="edge"/>
          <c:yMode val="edge"/>
          <c:x val="0.1775269028871391"/>
          <c:y val="0.80517169728783899"/>
          <c:w val="0.7025564304461942"/>
          <c:h val="0.15316163604549432"/>
        </c:manualLayout>
      </c:layout>
      <c:overlay val="0"/>
      <c:spPr>
        <a:solidFill>
          <a:schemeClr val="bg1">
            <a:lumMod val="85000"/>
          </a:schemeClr>
        </a:solidFill>
        <a:ln>
          <a:solidFill>
            <a:sysClr val="windowText" lastClr="000000"/>
          </a:solidFill>
        </a:ln>
      </c:spPr>
    </c:legend>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AMS</a:t>
            </a:r>
            <a:r>
              <a:rPr lang="en-US" sz="2000" b="1" baseline="0"/>
              <a:t> and De Minimis Spending</a:t>
            </a:r>
            <a:endParaRPr lang="en-US" sz="2000" b="1"/>
          </a:p>
        </c:rich>
      </c:tx>
      <c:overlay val="1"/>
      <c:spPr>
        <a:noFill/>
        <a:ln>
          <a:noFill/>
        </a:ln>
        <a:effectLst/>
      </c:spPr>
    </c:title>
    <c:autoTitleDeleted val="0"/>
    <c:plotArea>
      <c:layout/>
      <c:lineChart>
        <c:grouping val="standard"/>
        <c:varyColors val="0"/>
        <c:ser>
          <c:idx val="2"/>
          <c:order val="0"/>
          <c:tx>
            <c:strRef>
              <c:f>'Machine Calculations'!$A$21</c:f>
              <c:strCache>
                <c:ptCount val="1"/>
                <c:pt idx="0">
                  <c:v>Japan</c:v>
                </c:pt>
              </c:strCache>
            </c:strRef>
          </c:tx>
          <c:spPr>
            <a:ln w="28575" cap="rnd">
              <a:solidFill>
                <a:srgbClr val="C00000"/>
              </a:solidFill>
              <a:round/>
            </a:ln>
            <a:effectLst/>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Calculations'!$B$21:$Z$21</c:f>
              <c:numCache>
                <c:formatCode>_("$"* #,##0_);_("$"* \(#,##0\);_("$"* "-"_);_(@_)</c:formatCode>
                <c:ptCount val="25"/>
                <c:pt idx="0">
                  <c:v>5083599507.8195124</c:v>
                </c:pt>
                <c:pt idx="1">
                  <c:v>4186706648.5890331</c:v>
                </c:pt>
                <c:pt idx="2">
                  <c:v>6007172628.2564144</c:v>
                </c:pt>
                <c:pt idx="3">
                  <c:v>7201842226.8806648</c:v>
                </c:pt>
                <c:pt idx="4">
                  <c:v>6780707633.8730984</c:v>
                </c:pt>
                <c:pt idx="5">
                  <c:v>8186283867.8635674</c:v>
                </c:pt>
                <c:pt idx="6">
                  <c:v>8774838721.9846039</c:v>
                </c:pt>
                <c:pt idx="7">
                  <c:v>9038083883.6441422</c:v>
                </c:pt>
                <c:pt idx="8">
                  <c:v>9309226400.1534672</c:v>
                </c:pt>
                <c:pt idx="9">
                  <c:v>9588503192.1580715</c:v>
                </c:pt>
                <c:pt idx="10">
                  <c:v>9876158287.9228134</c:v>
                </c:pt>
                <c:pt idx="11">
                  <c:v>10172443036.560497</c:v>
                </c:pt>
                <c:pt idx="12">
                  <c:v>10477616327.657312</c:v>
                </c:pt>
                <c:pt idx="13">
                  <c:v>10791944817.487032</c:v>
                </c:pt>
                <c:pt idx="14">
                  <c:v>11115703162.011642</c:v>
                </c:pt>
                <c:pt idx="15">
                  <c:v>11449174256.871992</c:v>
                </c:pt>
                <c:pt idx="16">
                  <c:v>11792649484.578152</c:v>
                </c:pt>
                <c:pt idx="17">
                  <c:v>12146428969.115496</c:v>
                </c:pt>
                <c:pt idx="18">
                  <c:v>12510821838.188961</c:v>
                </c:pt>
                <c:pt idx="19">
                  <c:v>12886146493.334629</c:v>
                </c:pt>
                <c:pt idx="20">
                  <c:v>13272730888.134668</c:v>
                </c:pt>
                <c:pt idx="21">
                  <c:v>13670912814.778708</c:v>
                </c:pt>
                <c:pt idx="22">
                  <c:v>14081040199.222069</c:v>
                </c:pt>
                <c:pt idx="23">
                  <c:v>14503471405.19873</c:v>
                </c:pt>
                <c:pt idx="24">
                  <c:v>14938575547.354692</c:v>
                </c:pt>
              </c:numCache>
            </c:numRef>
          </c:val>
          <c:smooth val="0"/>
          <c:extLst xmlns:c16r2="http://schemas.microsoft.com/office/drawing/2015/06/chart">
            <c:ext xmlns:c16="http://schemas.microsoft.com/office/drawing/2014/chart" uri="{C3380CC4-5D6E-409C-BE32-E72D297353CC}">
              <c16:uniqueId val="{00000001-1C64-43CC-BEDA-1C06E38E3682}"/>
            </c:ext>
          </c:extLst>
        </c:ser>
        <c:ser>
          <c:idx val="3"/>
          <c:order val="1"/>
          <c:tx>
            <c:strRef>
              <c:f>'Machine Calculations'!$A$22</c:f>
              <c:strCache>
                <c:ptCount val="1"/>
              </c:strCache>
            </c:strRef>
          </c:tx>
          <c:spPr>
            <a:ln w="28575" cap="rnd">
              <a:solidFill>
                <a:srgbClr val="92D050"/>
              </a:solidFill>
              <a:round/>
            </a:ln>
            <a:effectLst/>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Calculations'!$B$22:$Z$22</c:f>
              <c:numCache>
                <c:formatCode>_("$"* #,##0_);_("$"* \(#,##0\);_("$"* "-"_);_(@_)</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2-1C64-43CC-BEDA-1C06E38E3682}"/>
            </c:ext>
          </c:extLst>
        </c:ser>
        <c:ser>
          <c:idx val="4"/>
          <c:order val="2"/>
          <c:tx>
            <c:strRef>
              <c:f>'Machine Calculations'!$A$23</c:f>
              <c:strCache>
                <c:ptCount val="1"/>
              </c:strCache>
            </c:strRef>
          </c:tx>
          <c:spPr>
            <a:ln w="28575" cap="rnd">
              <a:solidFill>
                <a:srgbClr val="7030A0"/>
              </a:solidFill>
              <a:round/>
            </a:ln>
            <a:effectLst/>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Calculations'!$B$23:$Z$23</c:f>
              <c:numCache>
                <c:formatCode>_("$"* #,##0_);_("$"* \(#,##0\);_("$"* "-"_);_(@_)</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3-1C64-43CC-BEDA-1C06E38E3682}"/>
            </c:ext>
          </c:extLst>
        </c:ser>
        <c:ser>
          <c:idx val="0"/>
          <c:order val="3"/>
          <c:tx>
            <c:strRef>
              <c:f>'Machine Calculations'!$A$24</c:f>
              <c:strCache>
                <c:ptCount val="1"/>
              </c:strCache>
            </c:strRef>
          </c:tx>
          <c:spPr>
            <a:ln w="28575" cap="rnd">
              <a:solidFill>
                <a:srgbClr val="00B0F0"/>
              </a:solidFill>
              <a:round/>
            </a:ln>
            <a:effectLst/>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Calculations'!$B$24:$Z$24</c:f>
              <c:numCache>
                <c:formatCode>_("$"* #,##0_);_("$"* \(#,##0\);_("$"* "-"_);_(@_)</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4-1C64-43CC-BEDA-1C06E38E3682}"/>
            </c:ext>
          </c:extLst>
        </c:ser>
        <c:dLbls>
          <c:showLegendKey val="0"/>
          <c:showVal val="0"/>
          <c:showCatName val="0"/>
          <c:showSerName val="0"/>
          <c:showPercent val="0"/>
          <c:showBubbleSize val="0"/>
        </c:dLbls>
        <c:marker val="1"/>
        <c:smooth val="0"/>
        <c:axId val="399352192"/>
        <c:axId val="399353728"/>
      </c:lineChart>
      <c:catAx>
        <c:axId val="399352192"/>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399353728"/>
        <c:crosses val="autoZero"/>
        <c:auto val="1"/>
        <c:lblAlgn val="ctr"/>
        <c:lblOffset val="100"/>
        <c:tickLblSkip val="2"/>
        <c:tickMarkSkip val="1"/>
        <c:noMultiLvlLbl val="0"/>
      </c:catAx>
      <c:valAx>
        <c:axId val="399353728"/>
        <c:scaling>
          <c:orientation val="minMax"/>
        </c:scaling>
        <c:delete val="0"/>
        <c:axPos val="l"/>
        <c:numFmt formatCode="&quot;$&quot;#,##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399352192"/>
        <c:crossesAt val="1"/>
        <c:crossBetween val="midCat"/>
        <c:dispUnits>
          <c:builtInUnit val="millions"/>
          <c:dispUnitsLbl>
            <c:layout>
              <c:manualLayout>
                <c:xMode val="edge"/>
                <c:yMode val="edge"/>
                <c:x val="7.1990253031651071E-3"/>
                <c:y val="0.34102550121491154"/>
              </c:manualLayout>
            </c:layout>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Million</a:t>
                  </a:r>
                  <a:r>
                    <a:rPr lang="en-US" sz="1600" b="1" baseline="0"/>
                    <a:t> USD</a:t>
                  </a:r>
                  <a:endParaRPr lang="en-US" sz="1600" b="1"/>
                </a:p>
              </c:rich>
            </c:tx>
            <c:spPr>
              <a:noFill/>
              <a:ln>
                <a:noFill/>
              </a:ln>
              <a:effectLst/>
            </c:sp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a:t>Total Article 6</a:t>
            </a:r>
            <a:r>
              <a:rPr lang="en-US" sz="2000" b="1" baseline="0"/>
              <a:t> Spending</a:t>
            </a:r>
            <a:endParaRPr lang="en-US" sz="2000" b="1"/>
          </a:p>
        </c:rich>
      </c:tx>
      <c:overlay val="1"/>
      <c:spPr>
        <a:noFill/>
        <a:ln>
          <a:noFill/>
        </a:ln>
        <a:effectLst/>
      </c:spPr>
    </c:title>
    <c:autoTitleDeleted val="0"/>
    <c:plotArea>
      <c:layout/>
      <c:lineChart>
        <c:grouping val="standard"/>
        <c:varyColors val="0"/>
        <c:ser>
          <c:idx val="3"/>
          <c:order val="0"/>
          <c:tx>
            <c:strRef>
              <c:f>'Machine Calculations'!$A$3</c:f>
              <c:strCache>
                <c:ptCount val="1"/>
                <c:pt idx="0">
                  <c:v>Japan</c:v>
                </c:pt>
              </c:strCache>
            </c:strRef>
          </c:tx>
          <c:spPr>
            <a:ln w="28575" cap="rnd">
              <a:solidFill>
                <a:srgbClr val="C00000"/>
              </a:solidFill>
              <a:round/>
            </a:ln>
            <a:effectLst/>
          </c:spPr>
          <c:marker>
            <c:symbol val="none"/>
          </c:marker>
          <c:cat>
            <c:numRef>
              <c:f>'Machine Calculations'!$B$2:$Z$2</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Calculations'!$B$3:$Z$3</c:f>
              <c:numCache>
                <c:formatCode>_("$"* #,##0.00_);_("$"* \(#,##0.00\);_("$"* "-"??_);_(@_)</c:formatCode>
                <c:ptCount val="25"/>
                <c:pt idx="0">
                  <c:v>5668948268.3784428</c:v>
                </c:pt>
                <c:pt idx="1">
                  <c:v>4772055408.7668076</c:v>
                </c:pt>
                <c:pt idx="2">
                  <c:v>6296202020.9373121</c:v>
                </c:pt>
                <c:pt idx="3">
                  <c:v>7414608401.8660421</c:v>
                </c:pt>
                <c:pt idx="4">
                  <c:v>9892631496.259201</c:v>
                </c:pt>
                <c:pt idx="5">
                  <c:v>9842774518.8716221</c:v>
                </c:pt>
                <c:pt idx="6">
                  <c:v>10418003502.04114</c:v>
                </c:pt>
                <c:pt idx="7">
                  <c:v>10730543607.102373</c:v>
                </c:pt>
                <c:pt idx="8">
                  <c:v>11052459915.315445</c:v>
                </c:pt>
                <c:pt idx="9">
                  <c:v>11384033712.774908</c:v>
                </c:pt>
                <c:pt idx="10">
                  <c:v>11725554724.158155</c:v>
                </c:pt>
                <c:pt idx="11">
                  <c:v>12077321365.8829</c:v>
                </c:pt>
                <c:pt idx="12">
                  <c:v>12439641006.859386</c:v>
                </c:pt>
                <c:pt idx="13">
                  <c:v>12812830237.065168</c:v>
                </c:pt>
                <c:pt idx="14">
                  <c:v>13197215144.177124</c:v>
                </c:pt>
                <c:pt idx="15">
                  <c:v>13593131598.502438</c:v>
                </c:pt>
                <c:pt idx="16">
                  <c:v>14000925546.45751</c:v>
                </c:pt>
                <c:pt idx="17">
                  <c:v>14420953312.851234</c:v>
                </c:pt>
                <c:pt idx="18">
                  <c:v>14853581912.236771</c:v>
                </c:pt>
                <c:pt idx="19">
                  <c:v>15299189369.603874</c:v>
                </c:pt>
                <c:pt idx="20">
                  <c:v>15758165050.69199</c:v>
                </c:pt>
                <c:pt idx="21">
                  <c:v>16230910002.212749</c:v>
                </c:pt>
                <c:pt idx="22">
                  <c:v>16717837302.279133</c:v>
                </c:pt>
                <c:pt idx="23">
                  <c:v>17219372421.347507</c:v>
                </c:pt>
                <c:pt idx="24">
                  <c:v>17735953593.987934</c:v>
                </c:pt>
              </c:numCache>
            </c:numRef>
          </c:val>
          <c:smooth val="0"/>
          <c:extLst xmlns:c16r2="http://schemas.microsoft.com/office/drawing/2015/06/chart">
            <c:ext xmlns:c16="http://schemas.microsoft.com/office/drawing/2014/chart" uri="{C3380CC4-5D6E-409C-BE32-E72D297353CC}">
              <c16:uniqueId val="{00000001-2616-4B8D-AADC-2F25B9816B89}"/>
            </c:ext>
          </c:extLst>
        </c:ser>
        <c:ser>
          <c:idx val="4"/>
          <c:order val="1"/>
          <c:tx>
            <c:strRef>
              <c:f>'Machine Calculations'!$A$4</c:f>
              <c:strCache>
                <c:ptCount val="1"/>
              </c:strCache>
            </c:strRef>
          </c:tx>
          <c:spPr>
            <a:ln w="28575" cap="rnd">
              <a:solidFill>
                <a:srgbClr val="92D050"/>
              </a:solidFill>
              <a:round/>
            </a:ln>
            <a:effectLst/>
          </c:spPr>
          <c:marker>
            <c:symbol val="none"/>
          </c:marker>
          <c:cat>
            <c:numRef>
              <c:f>'Machine Calculations'!$B$2:$Z$2</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Calculations'!$B$4:$Z$4</c:f>
              <c:numCache>
                <c:formatCode>_("$"* #,##0.00_);_("$"* \(#,##0.00\);_("$"* "-"??_);_(@_)</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2-2616-4B8D-AADC-2F25B9816B89}"/>
            </c:ext>
          </c:extLst>
        </c:ser>
        <c:ser>
          <c:idx val="0"/>
          <c:order val="2"/>
          <c:tx>
            <c:strRef>
              <c:f>'Machine Calculations'!$A$5</c:f>
              <c:strCache>
                <c:ptCount val="1"/>
              </c:strCache>
            </c:strRef>
          </c:tx>
          <c:spPr>
            <a:ln w="28575" cap="rnd">
              <a:solidFill>
                <a:srgbClr val="7030A0"/>
              </a:solidFill>
              <a:round/>
            </a:ln>
            <a:effectLst/>
          </c:spPr>
          <c:marker>
            <c:symbol val="none"/>
          </c:marker>
          <c:cat>
            <c:numRef>
              <c:f>'Machine Calculations'!$B$2:$Z$2</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Calculations'!$B$5:$Z$5</c:f>
              <c:numCache>
                <c:formatCode>_("$"* #,##0.00_);_("$"* \(#,##0.00\);_("$"* "-"??_);_(@_)</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3-2616-4B8D-AADC-2F25B9816B89}"/>
            </c:ext>
          </c:extLst>
        </c:ser>
        <c:ser>
          <c:idx val="1"/>
          <c:order val="3"/>
          <c:tx>
            <c:strRef>
              <c:f>'Machine Calculations'!$A$6</c:f>
              <c:strCache>
                <c:ptCount val="1"/>
              </c:strCache>
            </c:strRef>
          </c:tx>
          <c:spPr>
            <a:ln>
              <a:solidFill>
                <a:srgbClr val="00B0F0"/>
              </a:solidFill>
            </a:ln>
          </c:spPr>
          <c:marker>
            <c:symbol val="none"/>
          </c:marker>
          <c:cat>
            <c:numRef>
              <c:f>'Machine Calculations'!$B$2:$Z$2</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Calculations'!$B$6:$Z$6</c:f>
              <c:numCache>
                <c:formatCode>_("$"* #,##0.00_);_("$"* \(#,##0.00\);_("$"* "-"??_);_(@_)</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dLbls>
          <c:showLegendKey val="0"/>
          <c:showVal val="0"/>
          <c:showCatName val="0"/>
          <c:showSerName val="0"/>
          <c:showPercent val="0"/>
          <c:showBubbleSize val="0"/>
        </c:dLbls>
        <c:marker val="1"/>
        <c:smooth val="0"/>
        <c:axId val="400579968"/>
        <c:axId val="400589952"/>
      </c:lineChart>
      <c:catAx>
        <c:axId val="400579968"/>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00589952"/>
        <c:crosses val="autoZero"/>
        <c:auto val="1"/>
        <c:lblAlgn val="ctr"/>
        <c:lblOffset val="100"/>
        <c:tickLblSkip val="2"/>
        <c:tickMarkSkip val="1"/>
        <c:noMultiLvlLbl val="0"/>
      </c:catAx>
      <c:valAx>
        <c:axId val="400589952"/>
        <c:scaling>
          <c:orientation val="minMax"/>
        </c:scaling>
        <c:delete val="0"/>
        <c:axPos val="l"/>
        <c:numFmt formatCode="&quot;$&quot;#,##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00579968"/>
        <c:crossesAt val="1"/>
        <c:crossBetween val="midCat"/>
        <c:dispUnits>
          <c:builtInUnit val="millions"/>
          <c:dispUnitsLbl>
            <c:layout>
              <c:manualLayout>
                <c:xMode val="edge"/>
                <c:yMode val="edge"/>
                <c:x val="7.1990253031651071E-3"/>
                <c:y val="0.34102550121491154"/>
              </c:manualLayout>
            </c:layout>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Million</a:t>
                  </a:r>
                  <a:r>
                    <a:rPr lang="en-US" sz="1600" b="1" baseline="0"/>
                    <a:t> USD</a:t>
                  </a:r>
                  <a:endParaRPr lang="en-US" sz="1600" b="1"/>
                </a:p>
              </c:rich>
            </c:tx>
            <c:spPr>
              <a:noFill/>
              <a:ln>
                <a:noFill/>
              </a:ln>
              <a:effectLst/>
            </c:sp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'Machine Calculations'!$B$106</c:f>
          <c:strCache>
            <c:ptCount val="1"/>
            <c:pt idx="0">
              <c:v>OTDS Limits at 22% Developing and 20% Developed of Average 2006-2016 Value of Production</c:v>
            </c:pt>
          </c:strCache>
        </c:strRef>
      </c:tx>
      <c:overlay val="1"/>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29938396766985"/>
          <c:y val="0.16668881792911824"/>
          <c:w val="0.84582734099277257"/>
          <c:h val="0.68610468345845954"/>
        </c:manualLayout>
      </c:layout>
      <c:lineChart>
        <c:grouping val="standard"/>
        <c:varyColors val="0"/>
        <c:ser>
          <c:idx val="2"/>
          <c:order val="0"/>
          <c:tx>
            <c:strRef>
              <c:f>'Machine Calculations'!$A$27</c:f>
              <c:strCache>
                <c:ptCount val="1"/>
                <c:pt idx="0">
                  <c:v>Japan</c:v>
                </c:pt>
              </c:strCache>
            </c:strRef>
          </c:tx>
          <c:spPr>
            <a:ln w="28575" cap="rnd">
              <a:solidFill>
                <a:srgbClr val="C00000"/>
              </a:solidFill>
              <a:prstDash val="sysDot"/>
              <a:round/>
            </a:ln>
            <a:effectLst/>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Calculations'!$B$27:$Z$27</c:f>
              <c:numCache>
                <c:formatCode>"$"#,##0</c:formatCode>
                <c:ptCount val="25"/>
                <c:pt idx="0">
                  <c:v>14584545984.156548</c:v>
                </c:pt>
                <c:pt idx="1">
                  <c:v>14584545984.156548</c:v>
                </c:pt>
                <c:pt idx="2">
                  <c:v>14584545984.156548</c:v>
                </c:pt>
                <c:pt idx="3">
                  <c:v>14584545984.156548</c:v>
                </c:pt>
                <c:pt idx="4">
                  <c:v>14584545984.156548</c:v>
                </c:pt>
                <c:pt idx="5">
                  <c:v>14584545984.156548</c:v>
                </c:pt>
                <c:pt idx="6">
                  <c:v>14584545984.156548</c:v>
                </c:pt>
                <c:pt idx="7">
                  <c:v>14584545984.156548</c:v>
                </c:pt>
                <c:pt idx="8">
                  <c:v>14584545984.156548</c:v>
                </c:pt>
                <c:pt idx="9">
                  <c:v>14584545984.156548</c:v>
                </c:pt>
                <c:pt idx="10">
                  <c:v>14584545984.156548</c:v>
                </c:pt>
                <c:pt idx="11">
                  <c:v>14584545984.156548</c:v>
                </c:pt>
                <c:pt idx="12">
                  <c:v>14584545984.156548</c:v>
                </c:pt>
                <c:pt idx="13">
                  <c:v>14584545984.156548</c:v>
                </c:pt>
                <c:pt idx="14">
                  <c:v>14584545984.156548</c:v>
                </c:pt>
                <c:pt idx="15">
                  <c:v>14584545984.156548</c:v>
                </c:pt>
                <c:pt idx="16">
                  <c:v>14584545984.156548</c:v>
                </c:pt>
                <c:pt idx="17">
                  <c:v>14584545984.156548</c:v>
                </c:pt>
                <c:pt idx="18">
                  <c:v>14584545984.156548</c:v>
                </c:pt>
                <c:pt idx="19">
                  <c:v>14584545984.156548</c:v>
                </c:pt>
                <c:pt idx="20">
                  <c:v>14584545984.156548</c:v>
                </c:pt>
                <c:pt idx="21">
                  <c:v>14584545984.156548</c:v>
                </c:pt>
                <c:pt idx="22">
                  <c:v>14584545984.156548</c:v>
                </c:pt>
                <c:pt idx="23">
                  <c:v>14584545984.156548</c:v>
                </c:pt>
                <c:pt idx="24">
                  <c:v>14584545984.156548</c:v>
                </c:pt>
              </c:numCache>
            </c:numRef>
          </c:val>
          <c:smooth val="0"/>
          <c:extLst xmlns:c16r2="http://schemas.microsoft.com/office/drawing/2015/06/chart">
            <c:ext xmlns:c16="http://schemas.microsoft.com/office/drawing/2014/chart" uri="{C3380CC4-5D6E-409C-BE32-E72D297353CC}">
              <c16:uniqueId val="{00000001-AC39-4D88-B789-6954177EA028}"/>
            </c:ext>
          </c:extLst>
        </c:ser>
        <c:ser>
          <c:idx val="3"/>
          <c:order val="1"/>
          <c:tx>
            <c:strRef>
              <c:f>'Machine Calculations'!$A$28</c:f>
              <c:strCache>
                <c:ptCount val="1"/>
              </c:strCache>
            </c:strRef>
          </c:tx>
          <c:spPr>
            <a:ln w="28575" cap="rnd">
              <a:solidFill>
                <a:srgbClr val="92D050"/>
              </a:solidFill>
              <a:prstDash val="sysDot"/>
              <a:round/>
            </a:ln>
            <a:effectLst/>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Calculations'!$B$28:$Z$28</c:f>
              <c:numCache>
                <c:formatCode>"$"#,##0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2-AC39-4D88-B789-6954177EA028}"/>
            </c:ext>
          </c:extLst>
        </c:ser>
        <c:ser>
          <c:idx val="4"/>
          <c:order val="2"/>
          <c:tx>
            <c:strRef>
              <c:f>'Machine Calculations'!$A$29</c:f>
              <c:strCache>
                <c:ptCount val="1"/>
              </c:strCache>
            </c:strRef>
          </c:tx>
          <c:spPr>
            <a:ln w="28575" cap="rnd">
              <a:solidFill>
                <a:srgbClr val="7030A0"/>
              </a:solidFill>
              <a:prstDash val="sysDot"/>
              <a:round/>
            </a:ln>
            <a:effectLst/>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Calculations'!$B$29:$Z$29</c:f>
              <c:numCache>
                <c:formatCode>"$"#,##0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3-AC39-4D88-B789-6954177EA028}"/>
            </c:ext>
          </c:extLst>
        </c:ser>
        <c:ser>
          <c:idx val="0"/>
          <c:order val="3"/>
          <c:tx>
            <c:strRef>
              <c:f>'Machine Calculations'!$A$30</c:f>
              <c:strCache>
                <c:ptCount val="1"/>
              </c:strCache>
            </c:strRef>
          </c:tx>
          <c:spPr>
            <a:ln w="28575" cap="rnd">
              <a:solidFill>
                <a:schemeClr val="accent1"/>
              </a:solidFill>
              <a:prstDash val="sysDot"/>
              <a:round/>
            </a:ln>
            <a:effectLst/>
          </c:spPr>
          <c:marker>
            <c:symbol val="none"/>
          </c:marker>
          <c:cat>
            <c:numRef>
              <c:f>'Machine Calculations'!$B$20:$Z$20</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Calculations'!$B$30:$Z$30</c:f>
              <c:numCache>
                <c:formatCode>"$"#,##0</c:formatCod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extLst xmlns:c16r2="http://schemas.microsoft.com/office/drawing/2015/06/chart">
            <c:ext xmlns:c16="http://schemas.microsoft.com/office/drawing/2014/chart" uri="{C3380CC4-5D6E-409C-BE32-E72D297353CC}">
              <c16:uniqueId val="{00000004-AC39-4D88-B789-6954177EA028}"/>
            </c:ext>
          </c:extLst>
        </c:ser>
        <c:dLbls>
          <c:showLegendKey val="0"/>
          <c:showVal val="0"/>
          <c:showCatName val="0"/>
          <c:showSerName val="0"/>
          <c:showPercent val="0"/>
          <c:showBubbleSize val="0"/>
        </c:dLbls>
        <c:marker val="1"/>
        <c:smooth val="0"/>
        <c:axId val="402851328"/>
        <c:axId val="402852864"/>
      </c:lineChart>
      <c:catAx>
        <c:axId val="402851328"/>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02852864"/>
        <c:crosses val="autoZero"/>
        <c:auto val="1"/>
        <c:lblAlgn val="ctr"/>
        <c:lblOffset val="100"/>
        <c:tickLblSkip val="2"/>
        <c:tickMarkSkip val="1"/>
        <c:noMultiLvlLbl val="0"/>
      </c:catAx>
      <c:valAx>
        <c:axId val="402852864"/>
        <c:scaling>
          <c:orientation val="minMax"/>
        </c:scaling>
        <c:delete val="0"/>
        <c:axPos val="l"/>
        <c:numFmt formatCode="&quot;$&quot;#,##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02851328"/>
        <c:crossesAt val="1"/>
        <c:crossBetween val="midCat"/>
        <c:dispUnits>
          <c:builtInUnit val="millions"/>
          <c:dispUnitsLbl>
            <c:layout>
              <c:manualLayout>
                <c:xMode val="edge"/>
                <c:yMode val="edge"/>
                <c:x val="8.5632473842559495E-3"/>
                <c:y val="0.34582016255159376"/>
              </c:manualLayout>
            </c:layout>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Million</a:t>
                  </a:r>
                  <a:r>
                    <a:rPr lang="en-US" sz="1600" b="1" baseline="0"/>
                    <a:t> USD</a:t>
                  </a:r>
                  <a:endParaRPr lang="en-US" sz="1600" b="1"/>
                </a:p>
              </c:rich>
            </c:tx>
            <c:spPr>
              <a:noFill/>
              <a:ln>
                <a:noFill/>
              </a:ln>
              <a:effectLst/>
            </c:sp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Machine!$B$34</c:f>
          <c:strCache>
            <c:ptCount val="1"/>
          </c:strCache>
        </c:strRef>
      </c:tx>
      <c:layout>
        <c:manualLayout>
          <c:xMode val="edge"/>
          <c:yMode val="edge"/>
          <c:x val="0.18778094390811551"/>
          <c:y val="1.4265252447230266E-2"/>
        </c:manualLayout>
      </c:layout>
      <c:overlay val="1"/>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08981992143943"/>
          <c:y val="0.15293548754869984"/>
          <c:w val="0.82805298591479615"/>
          <c:h val="0.70150558319890244"/>
        </c:manualLayout>
      </c:layout>
      <c:lineChart>
        <c:grouping val="standard"/>
        <c:varyColors val="0"/>
        <c:ser>
          <c:idx val="2"/>
          <c:order val="0"/>
          <c:tx>
            <c:strRef>
              <c:f>'Machine Calculations'!$A$126</c:f>
              <c:strCache>
                <c:ptCount val="1"/>
                <c:pt idx="0">
                  <c:v>Japan</c:v>
                </c:pt>
              </c:strCache>
            </c:strRef>
          </c:tx>
          <c:spPr>
            <a:ln w="28575" cap="rnd">
              <a:solidFill>
                <a:srgbClr val="C00000"/>
              </a:solidFill>
              <a:prstDash val="lgDash"/>
              <a:round/>
            </a:ln>
            <a:effectLst/>
          </c:spPr>
          <c:marker>
            <c:symbol val="none"/>
          </c:marker>
          <c:cat>
            <c:numRef>
              <c:f>'Machine Calculations'!$B$125:$Z$125</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Calculations'!$B$126:$Z$126</c:f>
              <c:numCache>
                <c:formatCode>_("$"* #,##0.00_);_("$"* \(#,##0.00\);_("$"* "-"??_);_(@_)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0-E0CC-4626-808B-D5999636C215}"/>
            </c:ext>
          </c:extLst>
        </c:ser>
        <c:ser>
          <c:idx val="3"/>
          <c:order val="1"/>
          <c:tx>
            <c:strRef>
              <c:f>'Machine Calculations'!$A$127</c:f>
              <c:strCache>
                <c:ptCount val="1"/>
              </c:strCache>
            </c:strRef>
          </c:tx>
          <c:spPr>
            <a:ln w="28575" cap="rnd">
              <a:solidFill>
                <a:srgbClr val="92D050"/>
              </a:solidFill>
              <a:prstDash val="lgDash"/>
              <a:round/>
            </a:ln>
            <a:effectLst/>
          </c:spPr>
          <c:marker>
            <c:symbol val="none"/>
          </c:marker>
          <c:cat>
            <c:numRef>
              <c:f>'Machine Calculations'!$B$125:$Z$125</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Calculations'!$B$127:$Z$127</c:f>
              <c:numCache>
                <c:formatCode>_("$"* #,##0.00_);_("$"* \(#,##0.00\);_("$"* "-"??_);_(@_)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1-E0CC-4626-808B-D5999636C215}"/>
            </c:ext>
          </c:extLst>
        </c:ser>
        <c:ser>
          <c:idx val="4"/>
          <c:order val="2"/>
          <c:tx>
            <c:strRef>
              <c:f>'Machine Calculations'!$A$128</c:f>
              <c:strCache>
                <c:ptCount val="1"/>
              </c:strCache>
            </c:strRef>
          </c:tx>
          <c:spPr>
            <a:ln w="28575" cap="rnd">
              <a:solidFill>
                <a:srgbClr val="7030A0"/>
              </a:solidFill>
              <a:prstDash val="lgDash"/>
              <a:round/>
            </a:ln>
            <a:effectLst/>
          </c:spPr>
          <c:marker>
            <c:symbol val="none"/>
          </c:marker>
          <c:cat>
            <c:numRef>
              <c:f>'Machine Calculations'!$B$125:$Z$125</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Calculations'!$B$128:$Z$128</c:f>
              <c:numCache>
                <c:formatCode>_("$"* #,##0.00_);_("$"* \(#,##0.00\);_("$"* "-"??_);_(@_)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2-E0CC-4626-808B-D5999636C215}"/>
            </c:ext>
          </c:extLst>
        </c:ser>
        <c:ser>
          <c:idx val="0"/>
          <c:order val="3"/>
          <c:tx>
            <c:strRef>
              <c:f>'Machine Calculations'!$A$129</c:f>
              <c:strCache>
                <c:ptCount val="1"/>
              </c:strCache>
            </c:strRef>
          </c:tx>
          <c:spPr>
            <a:ln w="28575" cap="rnd">
              <a:solidFill>
                <a:srgbClr val="00B0F0"/>
              </a:solidFill>
              <a:prstDash val="lgDash"/>
              <a:round/>
            </a:ln>
            <a:effectLst/>
          </c:spPr>
          <c:marker>
            <c:symbol val="none"/>
          </c:marker>
          <c:cat>
            <c:numRef>
              <c:f>'Machine Calculations'!$B$125:$Z$125</c:f>
              <c:numCache>
                <c:formatCode>General</c:formatCode>
                <c:ptCount val="2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pt idx="18">
                  <c:v>2024</c:v>
                </c:pt>
                <c:pt idx="19">
                  <c:v>2025</c:v>
                </c:pt>
                <c:pt idx="20">
                  <c:v>2026</c:v>
                </c:pt>
                <c:pt idx="21">
                  <c:v>2027</c:v>
                </c:pt>
                <c:pt idx="22">
                  <c:v>2028</c:v>
                </c:pt>
                <c:pt idx="23">
                  <c:v>2029</c:v>
                </c:pt>
                <c:pt idx="24">
                  <c:v>2030</c:v>
                </c:pt>
              </c:numCache>
            </c:numRef>
          </c:cat>
          <c:val>
            <c:numRef>
              <c:f>'Machine Calculations'!$B$129:$Z$129</c:f>
              <c:numCache>
                <c:formatCode>_("$"* #,##0.00_);_("$"* \(#,##0.00\);_("$"* "-"??_);_(@_)</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xmlns:c16r2="http://schemas.microsoft.com/office/drawing/2015/06/chart">
            <c:ext xmlns:c16="http://schemas.microsoft.com/office/drawing/2014/chart" uri="{C3380CC4-5D6E-409C-BE32-E72D297353CC}">
              <c16:uniqueId val="{00000003-E0CC-4626-808B-D5999636C215}"/>
            </c:ext>
          </c:extLst>
        </c:ser>
        <c:dLbls>
          <c:showLegendKey val="0"/>
          <c:showVal val="0"/>
          <c:showCatName val="0"/>
          <c:showSerName val="0"/>
          <c:showPercent val="0"/>
          <c:showBubbleSize val="0"/>
        </c:dLbls>
        <c:marker val="1"/>
        <c:smooth val="0"/>
        <c:axId val="402888576"/>
        <c:axId val="402890112"/>
      </c:lineChart>
      <c:catAx>
        <c:axId val="40288857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02890112"/>
        <c:crosses val="autoZero"/>
        <c:auto val="1"/>
        <c:lblAlgn val="ctr"/>
        <c:lblOffset val="100"/>
        <c:tickLblSkip val="2"/>
        <c:tickMarkSkip val="1"/>
        <c:noMultiLvlLbl val="0"/>
      </c:catAx>
      <c:valAx>
        <c:axId val="402890112"/>
        <c:scaling>
          <c:orientation val="minMax"/>
        </c:scaling>
        <c:delete val="0"/>
        <c:axPos val="l"/>
        <c:numFmt formatCode="&quot;$&quot;#,##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02888576"/>
        <c:crossesAt val="1"/>
        <c:crossBetween val="midCat"/>
        <c:dispUnits>
          <c:builtInUnit val="millions"/>
          <c:dispUnitsLbl>
            <c:layout>
              <c:manualLayout>
                <c:xMode val="edge"/>
                <c:yMode val="edge"/>
                <c:x val="2.0855219934127828E-2"/>
                <c:y val="0.33862813703716643"/>
              </c:manualLayout>
            </c:layout>
            <c:tx>
              <c:rich>
                <a:bodyPr rot="-54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1"/>
                    <a:t>Million</a:t>
                  </a:r>
                  <a:r>
                    <a:rPr lang="en-US" sz="1600" b="1" baseline="0"/>
                    <a:t> USD</a:t>
                  </a:r>
                  <a:endParaRPr lang="en-US" sz="1600" b="1"/>
                </a:p>
              </c:rich>
            </c:tx>
            <c:spPr>
              <a:noFill/>
              <a:ln>
                <a:noFill/>
              </a:ln>
              <a:effectLst/>
            </c:sp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'Machine Calculations'!$B$157</c:f>
          <c:strCache>
            <c:ptCount val="1"/>
            <c:pt idx="0">
              <c:v>Water Remaining: 
AMS + DM Limit vs AMS + DM Spending</c:v>
            </c:pt>
          </c:strCache>
        </c:strRef>
      </c:tx>
      <c:overlay val="1"/>
      <c:txPr>
        <a:bodyPr/>
        <a:lstStyle/>
        <a:p>
          <a:pPr>
            <a:defRPr sz="2800"/>
          </a:pPr>
          <a:endParaRPr lang="en-US"/>
        </a:p>
      </c:txPr>
    </c:title>
    <c:autoTitleDeleted val="0"/>
    <c:plotArea>
      <c:layout>
        <c:manualLayout>
          <c:layoutTarget val="inner"/>
          <c:xMode val="edge"/>
          <c:yMode val="edge"/>
          <c:x val="7.677152644225578E-2"/>
          <c:y val="9.7764997988009958E-2"/>
          <c:w val="0.81196455425635339"/>
          <c:h val="0.73959139671482588"/>
        </c:manualLayout>
      </c:layout>
      <c:barChart>
        <c:barDir val="col"/>
        <c:grouping val="clustered"/>
        <c:varyColors val="0"/>
        <c:ser>
          <c:idx val="2"/>
          <c:order val="0"/>
          <c:tx>
            <c:strRef>
              <c:f>'Machine Calculations'!$A$150</c:f>
              <c:strCache>
                <c:ptCount val="1"/>
                <c:pt idx="0">
                  <c:v>Japan</c:v>
                </c:pt>
              </c:strCache>
            </c:strRef>
          </c:tx>
          <c:spPr>
            <a:solidFill>
              <a:schemeClr val="accent2"/>
            </a:solidFill>
            <a:ln>
              <a:noFill/>
            </a:ln>
          </c:spPr>
          <c:invertIfNegative val="0"/>
          <c:cat>
            <c:numRef>
              <c:f>'Machine Calculations'!$B$149:$H$149</c:f>
              <c:numCache>
                <c:formatCode>General</c:formatCode>
                <c:ptCount val="7"/>
                <c:pt idx="0">
                  <c:v>2006</c:v>
                </c:pt>
                <c:pt idx="1">
                  <c:v>2010</c:v>
                </c:pt>
                <c:pt idx="2">
                  <c:v>2014</c:v>
                </c:pt>
                <c:pt idx="3">
                  <c:v>2018</c:v>
                </c:pt>
                <c:pt idx="4">
                  <c:v>2022</c:v>
                </c:pt>
                <c:pt idx="5">
                  <c:v>2026</c:v>
                </c:pt>
                <c:pt idx="6">
                  <c:v>2030</c:v>
                </c:pt>
              </c:numCache>
            </c:numRef>
          </c:cat>
          <c:val>
            <c:numRef>
              <c:f>'Machine Calculations'!$B$150:$H$150</c:f>
              <c:numCache>
                <c:formatCode>_("$"* #,##0.00_);_("$"* \(#,##0.00\);_("$"* "-"??_);_(@_)</c:formatCode>
                <c:ptCount val="7"/>
                <c:pt idx="0">
                  <c:v>41300605604.133919</c:v>
                </c:pt>
                <c:pt idx="1">
                  <c:v>41286452478.08033</c:v>
                </c:pt>
                <c:pt idx="2">
                  <c:v>38316750001.799965</c:v>
                </c:pt>
                <c:pt idx="3">
                  <c:v>38068111889.503525</c:v>
                </c:pt>
                <c:pt idx="4">
                  <c:v>37788267503.612106</c:v>
                </c:pt>
                <c:pt idx="5">
                  <c:v>37473300181.862289</c:v>
                </c:pt>
                <c:pt idx="6">
                  <c:v>37118801686.370758</c:v>
                </c:pt>
              </c:numCache>
            </c:numRef>
          </c:val>
        </c:ser>
        <c:ser>
          <c:idx val="3"/>
          <c:order val="1"/>
          <c:tx>
            <c:strRef>
              <c:f>'Machine Calculations'!$A$151</c:f>
              <c:strCache>
                <c:ptCount val="1"/>
              </c:strCache>
            </c:strRef>
          </c:tx>
          <c:spPr>
            <a:solidFill>
              <a:srgbClr val="92D050"/>
            </a:solidFill>
          </c:spPr>
          <c:invertIfNegative val="0"/>
          <c:cat>
            <c:numRef>
              <c:f>'Machine Calculations'!$B$149:$H$149</c:f>
              <c:numCache>
                <c:formatCode>General</c:formatCode>
                <c:ptCount val="7"/>
                <c:pt idx="0">
                  <c:v>2006</c:v>
                </c:pt>
                <c:pt idx="1">
                  <c:v>2010</c:v>
                </c:pt>
                <c:pt idx="2">
                  <c:v>2014</c:v>
                </c:pt>
                <c:pt idx="3">
                  <c:v>2018</c:v>
                </c:pt>
                <c:pt idx="4">
                  <c:v>2022</c:v>
                </c:pt>
                <c:pt idx="5">
                  <c:v>2026</c:v>
                </c:pt>
                <c:pt idx="6">
                  <c:v>2030</c:v>
                </c:pt>
              </c:numCache>
            </c:numRef>
          </c:cat>
          <c:val>
            <c:numRef>
              <c:f>'Machine Calculations'!$B$151:$H$151</c:f>
              <c:numCache>
                <c:formatCode>_("$"* #,##0.00_);_("$"* \(#,##0.00\);_("$"* "-"??_);_(@_)</c:formatCode>
                <c:ptCount val="7"/>
                <c:pt idx="0">
                  <c:v>0</c:v>
                </c:pt>
                <c:pt idx="1">
                  <c:v>0</c:v>
                </c:pt>
                <c:pt idx="2">
                  <c:v>0</c:v>
                </c:pt>
                <c:pt idx="3">
                  <c:v>0</c:v>
                </c:pt>
                <c:pt idx="4">
                  <c:v>0</c:v>
                </c:pt>
                <c:pt idx="5">
                  <c:v>0</c:v>
                </c:pt>
                <c:pt idx="6">
                  <c:v>0</c:v>
                </c:pt>
              </c:numCache>
            </c:numRef>
          </c:val>
        </c:ser>
        <c:ser>
          <c:idx val="4"/>
          <c:order val="2"/>
          <c:tx>
            <c:strRef>
              <c:f>'Machine Calculations'!$A$152</c:f>
              <c:strCache>
                <c:ptCount val="1"/>
              </c:strCache>
            </c:strRef>
          </c:tx>
          <c:spPr>
            <a:solidFill>
              <a:srgbClr val="7030A0"/>
            </a:solidFill>
          </c:spPr>
          <c:invertIfNegative val="0"/>
          <c:cat>
            <c:numRef>
              <c:f>'Machine Calculations'!$B$149:$H$149</c:f>
              <c:numCache>
                <c:formatCode>General</c:formatCode>
                <c:ptCount val="7"/>
                <c:pt idx="0">
                  <c:v>2006</c:v>
                </c:pt>
                <c:pt idx="1">
                  <c:v>2010</c:v>
                </c:pt>
                <c:pt idx="2">
                  <c:v>2014</c:v>
                </c:pt>
                <c:pt idx="3">
                  <c:v>2018</c:v>
                </c:pt>
                <c:pt idx="4">
                  <c:v>2022</c:v>
                </c:pt>
                <c:pt idx="5">
                  <c:v>2026</c:v>
                </c:pt>
                <c:pt idx="6">
                  <c:v>2030</c:v>
                </c:pt>
              </c:numCache>
            </c:numRef>
          </c:cat>
          <c:val>
            <c:numRef>
              <c:f>'Machine Calculations'!$B$152:$H$152</c:f>
              <c:numCache>
                <c:formatCode>_("$"* #,##0.00_);_("$"* \(#,##0.00\);_("$"* "-"??_);_(@_)</c:formatCode>
                <c:ptCount val="7"/>
                <c:pt idx="0">
                  <c:v>0</c:v>
                </c:pt>
                <c:pt idx="1">
                  <c:v>0</c:v>
                </c:pt>
                <c:pt idx="2">
                  <c:v>0</c:v>
                </c:pt>
                <c:pt idx="3">
                  <c:v>0</c:v>
                </c:pt>
                <c:pt idx="4">
                  <c:v>0</c:v>
                </c:pt>
                <c:pt idx="5">
                  <c:v>0</c:v>
                </c:pt>
                <c:pt idx="6">
                  <c:v>0</c:v>
                </c:pt>
              </c:numCache>
            </c:numRef>
          </c:val>
        </c:ser>
        <c:ser>
          <c:idx val="0"/>
          <c:order val="3"/>
          <c:tx>
            <c:strRef>
              <c:f>'Machine Calculations'!$A$153</c:f>
              <c:strCache>
                <c:ptCount val="1"/>
              </c:strCache>
            </c:strRef>
          </c:tx>
          <c:spPr>
            <a:solidFill>
              <a:srgbClr val="00B0F0"/>
            </a:solidFill>
          </c:spPr>
          <c:invertIfNegative val="0"/>
          <c:cat>
            <c:numRef>
              <c:f>'Machine Calculations'!$B$149:$H$149</c:f>
              <c:numCache>
                <c:formatCode>General</c:formatCode>
                <c:ptCount val="7"/>
                <c:pt idx="0">
                  <c:v>2006</c:v>
                </c:pt>
                <c:pt idx="1">
                  <c:v>2010</c:v>
                </c:pt>
                <c:pt idx="2">
                  <c:v>2014</c:v>
                </c:pt>
                <c:pt idx="3">
                  <c:v>2018</c:v>
                </c:pt>
                <c:pt idx="4">
                  <c:v>2022</c:v>
                </c:pt>
                <c:pt idx="5">
                  <c:v>2026</c:v>
                </c:pt>
                <c:pt idx="6">
                  <c:v>2030</c:v>
                </c:pt>
              </c:numCache>
            </c:numRef>
          </c:cat>
          <c:val>
            <c:numRef>
              <c:f>'Machine Calculations'!$B$153:$H$153</c:f>
              <c:numCache>
                <c:formatCode>_("$"* #,##0.00_);_("$"* \(#,##0.00\);_("$"* "-"??_);_(@_)</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402934016"/>
        <c:axId val="402944000"/>
      </c:barChart>
      <c:catAx>
        <c:axId val="402934016"/>
        <c:scaling>
          <c:orientation val="minMax"/>
        </c:scaling>
        <c:delete val="0"/>
        <c:axPos val="b"/>
        <c:numFmt formatCode="General" sourceLinked="1"/>
        <c:majorTickMark val="out"/>
        <c:minorTickMark val="none"/>
        <c:tickLblPos val="nextTo"/>
        <c:txPr>
          <a:bodyPr/>
          <a:lstStyle/>
          <a:p>
            <a:pPr>
              <a:defRPr sz="1600"/>
            </a:pPr>
            <a:endParaRPr lang="en-US"/>
          </a:p>
        </c:txPr>
        <c:crossAx val="402944000"/>
        <c:crosses val="autoZero"/>
        <c:auto val="1"/>
        <c:lblAlgn val="ctr"/>
        <c:lblOffset val="100"/>
        <c:noMultiLvlLbl val="0"/>
      </c:catAx>
      <c:valAx>
        <c:axId val="402944000"/>
        <c:scaling>
          <c:orientation val="minMax"/>
        </c:scaling>
        <c:delete val="0"/>
        <c:axPos val="l"/>
        <c:numFmt formatCode="&quot;$&quot;#,##0" sourceLinked="0"/>
        <c:majorTickMark val="out"/>
        <c:minorTickMark val="none"/>
        <c:tickLblPos val="nextTo"/>
        <c:txPr>
          <a:bodyPr/>
          <a:lstStyle/>
          <a:p>
            <a:pPr>
              <a:defRPr sz="1400"/>
            </a:pPr>
            <a:endParaRPr lang="en-US"/>
          </a:p>
        </c:txPr>
        <c:crossAx val="402934016"/>
        <c:crosses val="autoZero"/>
        <c:crossBetween val="between"/>
        <c:dispUnits>
          <c:builtInUnit val="millions"/>
          <c:dispUnitsLbl>
            <c:layout>
              <c:manualLayout>
                <c:xMode val="edge"/>
                <c:yMode val="edge"/>
                <c:x val="7.4999278164487098E-3"/>
                <c:y val="0.36028835636556639"/>
              </c:manualLayout>
            </c:layout>
            <c:tx>
              <c:rich>
                <a:bodyPr/>
                <a:lstStyle/>
                <a:p>
                  <a:pPr>
                    <a:defRPr sz="1600"/>
                  </a:pPr>
                  <a:r>
                    <a:rPr lang="en-AU" sz="1600"/>
                    <a:t>USD Millions</a:t>
                  </a:r>
                </a:p>
              </c:rich>
            </c:tx>
          </c:dispUnitsLbl>
        </c:dispUnits>
      </c:valAx>
    </c:plotArea>
    <c:legend>
      <c:legendPos val="r"/>
      <c:layout>
        <c:manualLayout>
          <c:xMode val="edge"/>
          <c:yMode val="edge"/>
          <c:x val="0.10843915906291376"/>
          <c:y val="0.89712076743836267"/>
          <c:w val="0.84772391171265793"/>
          <c:h val="0.10287923256163738"/>
        </c:manualLayout>
      </c:layout>
      <c:overlay val="0"/>
      <c:txPr>
        <a:bodyPr/>
        <a:lstStyle/>
        <a:p>
          <a:pPr>
            <a:defRPr sz="20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dk1"/>
                </a:solidFill>
                <a:latin typeface="+mn-lt"/>
                <a:ea typeface="+mn-ea"/>
                <a:cs typeface="+mn-cs"/>
              </a:defRPr>
            </a:pPr>
            <a:r>
              <a:rPr lang="en-AU">
                <a:solidFill>
                  <a:schemeClr val="dk1"/>
                </a:solidFill>
                <a:latin typeface="+mn-lt"/>
                <a:ea typeface="+mn-ea"/>
                <a:cs typeface="+mn-cs"/>
              </a:rPr>
              <a:t>Trade Distorting Support Limits (AMS+DM)</a:t>
            </a:r>
            <a:r>
              <a:rPr lang="en-AU" baseline="0">
                <a:solidFill>
                  <a:schemeClr val="dk1"/>
                </a:solidFill>
                <a:latin typeface="+mn-lt"/>
                <a:ea typeface="+mn-ea"/>
                <a:cs typeface="+mn-cs"/>
              </a:rPr>
              <a:t> </a:t>
            </a:r>
            <a:br>
              <a:rPr lang="en-AU" baseline="0">
                <a:solidFill>
                  <a:schemeClr val="dk1"/>
                </a:solidFill>
                <a:latin typeface="+mn-lt"/>
                <a:ea typeface="+mn-ea"/>
                <a:cs typeface="+mn-cs"/>
              </a:rPr>
            </a:br>
            <a:r>
              <a:rPr lang="en-AU">
                <a:solidFill>
                  <a:schemeClr val="dk1"/>
                </a:solidFill>
                <a:latin typeface="+mn-lt"/>
                <a:ea typeface="+mn-ea"/>
                <a:cs typeface="+mn-cs"/>
              </a:rPr>
              <a:t>Assuming</a:t>
            </a:r>
            <a:r>
              <a:rPr lang="en-AU" baseline="0">
                <a:solidFill>
                  <a:schemeClr val="dk1"/>
                </a:solidFill>
                <a:latin typeface="+mn-lt"/>
                <a:ea typeface="+mn-ea"/>
                <a:cs typeface="+mn-cs"/>
              </a:rPr>
              <a:t> Average '06-'13 VoP Growth Rate</a:t>
            </a:r>
            <a:endParaRPr lang="en-AU"/>
          </a:p>
        </c:rich>
      </c:tx>
      <c:layout>
        <c:manualLayout>
          <c:xMode val="edge"/>
          <c:yMode val="edge"/>
          <c:x val="0.27800815965766085"/>
          <c:y val="2.7586206896551724E-2"/>
        </c:manualLayout>
      </c:layout>
      <c:overlay val="1"/>
      <c:spPr>
        <a:solidFill>
          <a:schemeClr val="lt1"/>
        </a:solidFill>
        <a:ln w="25400" cap="flat" cmpd="sng" algn="ctr">
          <a:solidFill>
            <a:schemeClr val="dk1"/>
          </a:solidFill>
          <a:prstDash val="solid"/>
        </a:ln>
        <a:effectLst/>
      </c:spPr>
    </c:title>
    <c:autoTitleDeleted val="0"/>
    <c:plotArea>
      <c:layout>
        <c:manualLayout>
          <c:layoutTarget val="inner"/>
          <c:xMode val="edge"/>
          <c:yMode val="edge"/>
          <c:x val="8.0140449589591836E-2"/>
          <c:y val="0.11891114876463227"/>
          <c:w val="0.86244315456461162"/>
          <c:h val="0.64344694844178962"/>
        </c:manualLayout>
      </c:layout>
      <c:lineChart>
        <c:grouping val="standard"/>
        <c:varyColors val="0"/>
        <c:ser>
          <c:idx val="2"/>
          <c:order val="0"/>
          <c:tx>
            <c:strRef>
              <c:f>'DS Calculations'!$A$4</c:f>
              <c:strCache>
                <c:ptCount val="1"/>
                <c:pt idx="0">
                  <c:v>Brazil</c:v>
                </c:pt>
              </c:strCache>
            </c:strRef>
          </c:tx>
          <c:marker>
            <c:symbol val="none"/>
          </c:marker>
          <c:cat>
            <c:numRef>
              <c:f>'DS Calculations'!$B$2:$S$2</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'DS Calculations'!$B$4:$S$4</c:f>
              <c:numCache>
                <c:formatCode>_("$"* #,##0.00_);_("$"* \(#,##0.00\);_("$"* "-"??_);_(@_)</c:formatCode>
                <c:ptCount val="18"/>
                <c:pt idx="0">
                  <c:v>44792417150</c:v>
                </c:pt>
                <c:pt idx="1">
                  <c:v>52453906958.95826</c:v>
                </c:pt>
                <c:pt idx="2">
                  <c:v>61453090677.038483</c:v>
                </c:pt>
                <c:pt idx="3">
                  <c:v>72023529274.642212</c:v>
                </c:pt>
                <c:pt idx="4">
                  <c:v>84439563400.184769</c:v>
                </c:pt>
                <c:pt idx="5">
                  <c:v>99023433500.105133</c:v>
                </c:pt>
                <c:pt idx="6">
                  <c:v>116153643109.77444</c:v>
                </c:pt>
                <c:pt idx="7">
                  <c:v>136274782372.58296</c:v>
                </c:pt>
                <c:pt idx="8">
                  <c:v>159909066742.62402</c:v>
                </c:pt>
                <c:pt idx="9">
                  <c:v>187669890341.53592</c:v>
                </c:pt>
                <c:pt idx="10">
                  <c:v>220277745727.5361</c:v>
                </c:pt>
                <c:pt idx="11">
                  <c:v>258578923251.53345</c:v>
                </c:pt>
                <c:pt idx="12">
                  <c:v>303567475315.42035</c:v>
                </c:pt>
                <c:pt idx="13">
                  <c:v>356411015583.52179</c:v>
                </c:pt>
                <c:pt idx="14">
                  <c:v>418481022728.91748</c:v>
                </c:pt>
                <c:pt idx="15">
                  <c:v>491388435205.12335</c:v>
                </c:pt>
                <c:pt idx="16">
                  <c:v>577025460854.63501</c:v>
                </c:pt>
                <c:pt idx="17">
                  <c:v>677614686463.05371</c:v>
                </c:pt>
              </c:numCache>
            </c:numRef>
          </c:val>
          <c:smooth val="0"/>
          <c:extLst xmlns:c16r2="http://schemas.microsoft.com/office/drawing/2015/06/chart">
            <c:ext xmlns:c16="http://schemas.microsoft.com/office/drawing/2014/chart" uri="{C3380CC4-5D6E-409C-BE32-E72D297353CC}">
              <c16:uniqueId val="{00000000-3BA2-4CB6-98FE-F473364685CD}"/>
            </c:ext>
          </c:extLst>
        </c:ser>
        <c:ser>
          <c:idx val="4"/>
          <c:order val="1"/>
          <c:tx>
            <c:strRef>
              <c:f>'DS Calculations'!$A$6</c:f>
              <c:strCache>
                <c:ptCount val="1"/>
                <c:pt idx="0">
                  <c:v>China</c:v>
                </c:pt>
              </c:strCache>
            </c:strRef>
          </c:tx>
          <c:marker>
            <c:symbol val="none"/>
          </c:marker>
          <c:cat>
            <c:numRef>
              <c:f>'DS Calculations'!$B$2:$S$2</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'DS Calculations'!$B$6:$S$6</c:f>
              <c:numCache>
                <c:formatCode>_("$"* #,##0.00_);_("$"* \(#,##0.00\);_("$"* "-"??_);_(@_)</c:formatCode>
                <c:ptCount val="18"/>
                <c:pt idx="0">
                  <c:v>218381903100.00003</c:v>
                </c:pt>
                <c:pt idx="1">
                  <c:v>249958669302.95755</c:v>
                </c:pt>
                <c:pt idx="2">
                  <c:v>286101254146.02307</c:v>
                </c:pt>
                <c:pt idx="3">
                  <c:v>327469848724.14178</c:v>
                </c:pt>
                <c:pt idx="4">
                  <c:v>374820103964.59125</c:v>
                </c:pt>
                <c:pt idx="5">
                  <c:v>429016933569.27905</c:v>
                </c:pt>
                <c:pt idx="6">
                  <c:v>491050312783.04822</c:v>
                </c:pt>
                <c:pt idx="7">
                  <c:v>562053361572.94348</c:v>
                </c:pt>
                <c:pt idx="8">
                  <c:v>643323042531.11438</c:v>
                </c:pt>
                <c:pt idx="9">
                  <c:v>736343851575.3429</c:v>
                </c:pt>
                <c:pt idx="10">
                  <c:v>842814934188.50586</c:v>
                </c:pt>
                <c:pt idx="11">
                  <c:v>964681122510.18604</c:v>
                </c:pt>
                <c:pt idx="12">
                  <c:v>1104168460213.082</c:v>
                </c:pt>
                <c:pt idx="13">
                  <c:v>1263824864072.0706</c:v>
                </c:pt>
                <c:pt idx="14">
                  <c:v>1446566664962.1113</c:v>
                </c:pt>
                <c:pt idx="15">
                  <c:v>1655731878416.5615</c:v>
                </c:pt>
                <c:pt idx="16">
                  <c:v>1895141177801.6052</c:v>
                </c:pt>
                <c:pt idx="17">
                  <c:v>2169167683860.7461</c:v>
                </c:pt>
              </c:numCache>
            </c:numRef>
          </c:val>
          <c:smooth val="0"/>
          <c:extLst xmlns:c16r2="http://schemas.microsoft.com/office/drawing/2015/06/chart">
            <c:ext xmlns:c16="http://schemas.microsoft.com/office/drawing/2014/chart" uri="{C3380CC4-5D6E-409C-BE32-E72D297353CC}">
              <c16:uniqueId val="{00000001-3BA2-4CB6-98FE-F473364685CD}"/>
            </c:ext>
          </c:extLst>
        </c:ser>
        <c:ser>
          <c:idx val="5"/>
          <c:order val="2"/>
          <c:tx>
            <c:strRef>
              <c:f>'DS Calculations'!$A$7</c:f>
              <c:strCache>
                <c:ptCount val="1"/>
                <c:pt idx="0">
                  <c:v>European Union</c:v>
                </c:pt>
              </c:strCache>
            </c:strRef>
          </c:tx>
          <c:marker>
            <c:symbol val="none"/>
          </c:marker>
          <c:cat>
            <c:numRef>
              <c:f>'DS Calculations'!$B$2:$S$2</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'DS Calculations'!$B$7:$S$7</c:f>
              <c:numCache>
                <c:formatCode>_("$"* #,##0.00_);_("$"* \(#,##0.00\);_("$"* "-"??_);_(@_)</c:formatCode>
                <c:ptCount val="18"/>
                <c:pt idx="0">
                  <c:v>135721475795.58807</c:v>
                </c:pt>
                <c:pt idx="1">
                  <c:v>137852625940.17441</c:v>
                </c:pt>
                <c:pt idx="2">
                  <c:v>140093628839.0661</c:v>
                </c:pt>
                <c:pt idx="3">
                  <c:v>142450146987.54019</c:v>
                </c:pt>
                <c:pt idx="4">
                  <c:v>144928134761.15451</c:v>
                </c:pt>
                <c:pt idx="5">
                  <c:v>147533853461.07544</c:v>
                </c:pt>
                <c:pt idx="6">
                  <c:v>150273887134.93588</c:v>
                </c:pt>
                <c:pt idx="7">
                  <c:v>153155159213.19855</c:v>
                </c:pt>
                <c:pt idx="8">
                  <c:v>156184950003.06125</c:v>
                </c:pt>
                <c:pt idx="9">
                  <c:v>159370915084.10699</c:v>
                </c:pt>
                <c:pt idx="10">
                  <c:v>162721104652.18039</c:v>
                </c:pt>
                <c:pt idx="11">
                  <c:v>166243983860.36792</c:v>
                </c:pt>
                <c:pt idx="12">
                  <c:v>169948454208.4794</c:v>
                </c:pt>
                <c:pt idx="13">
                  <c:v>173843876035.07599</c:v>
                </c:pt>
                <c:pt idx="14">
                  <c:v>177940092168.8779</c:v>
                </c:pt>
                <c:pt idx="15">
                  <c:v>182247452799.31287</c:v>
                </c:pt>
                <c:pt idx="16">
                  <c:v>186776841629.04749</c:v>
                </c:pt>
                <c:pt idx="17">
                  <c:v>191539703374.58307</c:v>
                </c:pt>
              </c:numCache>
            </c:numRef>
          </c:val>
          <c:smooth val="0"/>
          <c:extLst xmlns:c16r2="http://schemas.microsoft.com/office/drawing/2015/06/chart">
            <c:ext xmlns:c16="http://schemas.microsoft.com/office/drawing/2014/chart" uri="{C3380CC4-5D6E-409C-BE32-E72D297353CC}">
              <c16:uniqueId val="{00000002-3BA2-4CB6-98FE-F473364685CD}"/>
            </c:ext>
          </c:extLst>
        </c:ser>
        <c:ser>
          <c:idx val="9"/>
          <c:order val="3"/>
          <c:tx>
            <c:strRef>
              <c:f>'DS Calculations'!$A$11</c:f>
              <c:strCache>
                <c:ptCount val="1"/>
                <c:pt idx="0">
                  <c:v>United States of America</c:v>
                </c:pt>
              </c:strCache>
            </c:strRef>
          </c:tx>
          <c:marker>
            <c:symbol val="none"/>
          </c:marker>
          <c:cat>
            <c:numRef>
              <c:f>'DS Calculations'!$B$2:$S$2</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'DS Calculations'!$B$11:$S$11</c:f>
              <c:numCache>
                <c:formatCode>_("$"* #,##0.00_);_("$"* \(#,##0.00\);_("$"* "-"??_);_(@_)</c:formatCode>
                <c:ptCount val="18"/>
                <c:pt idx="0">
                  <c:v>50208429000</c:v>
                </c:pt>
                <c:pt idx="1">
                  <c:v>52945805618.222275</c:v>
                </c:pt>
                <c:pt idx="2">
                  <c:v>55924056847.952248</c:v>
                </c:pt>
                <c:pt idx="3">
                  <c:v>59164378376.360901</c:v>
                </c:pt>
                <c:pt idx="4">
                  <c:v>62689830998.576584</c:v>
                </c:pt>
                <c:pt idx="5">
                  <c:v>66525504737.284637</c:v>
                </c:pt>
                <c:pt idx="6">
                  <c:v>70698697403.980621</c:v>
                </c:pt>
                <c:pt idx="7">
                  <c:v>75239108872.665924</c:v>
                </c:pt>
                <c:pt idx="8">
                  <c:v>80179052448.597382</c:v>
                </c:pt>
                <c:pt idx="9">
                  <c:v>85553684836.364777</c:v>
                </c:pt>
                <c:pt idx="10">
                  <c:v>91401256343.9384</c:v>
                </c:pt>
                <c:pt idx="11">
                  <c:v>97763383103.344711</c:v>
                </c:pt>
                <c:pt idx="12">
                  <c:v>104685343245.31642</c:v>
                </c:pt>
                <c:pt idx="13">
                  <c:v>112216399135.73946</c:v>
                </c:pt>
                <c:pt idx="14">
                  <c:v>120410147967.19687</c:v>
                </c:pt>
                <c:pt idx="15">
                  <c:v>129324903200.70747</c:v>
                </c:pt>
                <c:pt idx="16">
                  <c:v>139024109572.31274</c:v>
                </c:pt>
                <c:pt idx="17">
                  <c:v>149576794618.04022</c:v>
                </c:pt>
              </c:numCache>
            </c:numRef>
          </c:val>
          <c:smooth val="0"/>
          <c:extLst xmlns:c16r2="http://schemas.microsoft.com/office/drawing/2015/06/chart">
            <c:ext xmlns:c16="http://schemas.microsoft.com/office/drawing/2014/chart" uri="{C3380CC4-5D6E-409C-BE32-E72D297353CC}">
              <c16:uniqueId val="{00000003-3BA2-4CB6-98FE-F473364685CD}"/>
            </c:ext>
          </c:extLst>
        </c:ser>
        <c:dLbls>
          <c:showLegendKey val="0"/>
          <c:showVal val="0"/>
          <c:showCatName val="0"/>
          <c:showSerName val="0"/>
          <c:showPercent val="0"/>
          <c:showBubbleSize val="0"/>
        </c:dLbls>
        <c:marker val="1"/>
        <c:smooth val="0"/>
        <c:axId val="405280640"/>
        <c:axId val="405282176"/>
      </c:lineChart>
      <c:catAx>
        <c:axId val="405280640"/>
        <c:scaling>
          <c:orientation val="minMax"/>
        </c:scaling>
        <c:delete val="0"/>
        <c:axPos val="b"/>
        <c:numFmt formatCode="General" sourceLinked="1"/>
        <c:majorTickMark val="out"/>
        <c:minorTickMark val="none"/>
        <c:tickLblPos val="nextTo"/>
        <c:crossAx val="405282176"/>
        <c:crosses val="autoZero"/>
        <c:auto val="1"/>
        <c:lblAlgn val="ctr"/>
        <c:lblOffset val="100"/>
        <c:tickLblSkip val="2"/>
        <c:noMultiLvlLbl val="0"/>
      </c:catAx>
      <c:valAx>
        <c:axId val="405282176"/>
        <c:scaling>
          <c:orientation val="minMax"/>
        </c:scaling>
        <c:delete val="0"/>
        <c:axPos val="l"/>
        <c:majorGridlines/>
        <c:numFmt formatCode="&quot;$&quot;#,##0" sourceLinked="0"/>
        <c:majorTickMark val="out"/>
        <c:minorTickMark val="none"/>
        <c:tickLblPos val="nextTo"/>
        <c:crossAx val="405280640"/>
        <c:crosses val="autoZero"/>
        <c:crossBetween val="between"/>
        <c:dispUnits>
          <c:builtInUnit val="billions"/>
          <c:dispUnitsLbl>
            <c:layout>
              <c:manualLayout>
                <c:xMode val="edge"/>
                <c:yMode val="edge"/>
                <c:x val="6.456800702786895E-3"/>
                <c:y val="0.31290582502334097"/>
              </c:manualLayout>
            </c:layout>
          </c:dispUnitsLbl>
        </c:dispUnits>
      </c:valAx>
    </c:plotArea>
    <c:legend>
      <c:legendPos val="r"/>
      <c:layout>
        <c:manualLayout>
          <c:xMode val="edge"/>
          <c:yMode val="edge"/>
          <c:x val="0.11407190630945259"/>
          <c:y val="0.84007452848029418"/>
          <c:w val="0.82432645098007518"/>
          <c:h val="5.2529098419659567E-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dk1"/>
                </a:solidFill>
                <a:latin typeface="+mn-lt"/>
                <a:ea typeface="+mn-ea"/>
                <a:cs typeface="+mn-cs"/>
              </a:defRPr>
            </a:pPr>
            <a:r>
              <a:rPr lang="en-AU" sz="1800" b="1" i="0" u="none" strike="noStrike" baseline="0">
                <a:effectLst/>
              </a:rPr>
              <a:t>Trade Distorting Support Limits (AMS+DM)</a:t>
            </a:r>
            <a:r>
              <a:rPr lang="en-AU">
                <a:solidFill>
                  <a:schemeClr val="dk1"/>
                </a:solidFill>
                <a:latin typeface="+mn-lt"/>
                <a:ea typeface="+mn-ea"/>
                <a:cs typeface="+mn-cs"/>
              </a:rPr>
              <a:t/>
            </a:r>
            <a:br>
              <a:rPr lang="en-AU">
                <a:solidFill>
                  <a:schemeClr val="dk1"/>
                </a:solidFill>
                <a:latin typeface="+mn-lt"/>
                <a:ea typeface="+mn-ea"/>
                <a:cs typeface="+mn-cs"/>
              </a:rPr>
            </a:br>
            <a:r>
              <a:rPr lang="en-AU">
                <a:solidFill>
                  <a:schemeClr val="dk1"/>
                </a:solidFill>
                <a:latin typeface="+mn-lt"/>
                <a:ea typeface="+mn-ea"/>
                <a:cs typeface="+mn-cs"/>
              </a:rPr>
              <a:t>Assuming</a:t>
            </a:r>
            <a:r>
              <a:rPr lang="en-AU" baseline="0">
                <a:solidFill>
                  <a:schemeClr val="dk1"/>
                </a:solidFill>
                <a:latin typeface="+mn-lt"/>
                <a:ea typeface="+mn-ea"/>
                <a:cs typeface="+mn-cs"/>
              </a:rPr>
              <a:t> flat 7% VoP Growth Rate</a:t>
            </a:r>
            <a:endParaRPr lang="en-AU"/>
          </a:p>
        </c:rich>
      </c:tx>
      <c:layout>
        <c:manualLayout>
          <c:xMode val="edge"/>
          <c:yMode val="edge"/>
          <c:x val="0.27800815965766085"/>
          <c:y val="2.2503516174402251E-2"/>
        </c:manualLayout>
      </c:layout>
      <c:overlay val="1"/>
      <c:spPr>
        <a:solidFill>
          <a:schemeClr val="lt1"/>
        </a:solidFill>
        <a:ln w="25400" cap="flat" cmpd="sng" algn="ctr">
          <a:solidFill>
            <a:schemeClr val="dk1"/>
          </a:solidFill>
          <a:prstDash val="solid"/>
        </a:ln>
        <a:effectLst/>
      </c:spPr>
    </c:title>
    <c:autoTitleDeleted val="0"/>
    <c:plotArea>
      <c:layout>
        <c:manualLayout>
          <c:layoutTarget val="inner"/>
          <c:xMode val="edge"/>
          <c:yMode val="edge"/>
          <c:x val="8.0140449589591836E-2"/>
          <c:y val="0.11891114876463227"/>
          <c:w val="0.86244315456461162"/>
          <c:h val="0.70050101332270176"/>
        </c:manualLayout>
      </c:layout>
      <c:lineChart>
        <c:grouping val="standard"/>
        <c:varyColors val="0"/>
        <c:ser>
          <c:idx val="5"/>
          <c:order val="0"/>
          <c:tx>
            <c:strRef>
              <c:f>'DS Calculations'!$A$17</c:f>
              <c:strCache>
                <c:ptCount val="1"/>
                <c:pt idx="0">
                  <c:v>Brazil</c:v>
                </c:pt>
              </c:strCache>
            </c:strRef>
          </c:tx>
          <c:marker>
            <c:symbol val="none"/>
          </c:marker>
          <c:cat>
            <c:numRef>
              <c:f>'DS Calculations'!$B$15:$S$15</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'DS Calculations'!$B$17:$S$17</c:f>
              <c:numCache>
                <c:formatCode>_("$"* #,##0.00_);_("$"* \(#,##0.00\);_("$"* "-"??_);_(@_)</c:formatCode>
                <c:ptCount val="18"/>
                <c:pt idx="0">
                  <c:v>16341193150</c:v>
                </c:pt>
                <c:pt idx="1">
                  <c:v>22710165150</c:v>
                </c:pt>
                <c:pt idx="2">
                  <c:v>30060091150</c:v>
                </c:pt>
                <c:pt idx="3">
                  <c:v>27610459150</c:v>
                </c:pt>
                <c:pt idx="4">
                  <c:v>33421571150</c:v>
                </c:pt>
                <c:pt idx="5">
                  <c:v>42755149150</c:v>
                </c:pt>
                <c:pt idx="6">
                  <c:v>41364295150</c:v>
                </c:pt>
                <c:pt idx="7">
                  <c:v>44792417150</c:v>
                </c:pt>
                <c:pt idx="8">
                  <c:v>46108826510</c:v>
                </c:pt>
                <c:pt idx="9">
                  <c:v>47464728150.800003</c:v>
                </c:pt>
                <c:pt idx="10">
                  <c:v>48861306840.824005</c:v>
                </c:pt>
                <c:pt idx="11">
                  <c:v>50299782891.548721</c:v>
                </c:pt>
                <c:pt idx="12">
                  <c:v>51781413223.795181</c:v>
                </c:pt>
                <c:pt idx="13">
                  <c:v>53307492466.009033</c:v>
                </c:pt>
                <c:pt idx="14">
                  <c:v>54879354085.489311</c:v>
                </c:pt>
                <c:pt idx="15">
                  <c:v>56498371553.553993</c:v>
                </c:pt>
                <c:pt idx="16">
                  <c:v>58165959545.660614</c:v>
                </c:pt>
                <c:pt idx="17">
                  <c:v>59883575177.530426</c:v>
                </c:pt>
              </c:numCache>
            </c:numRef>
          </c:val>
          <c:smooth val="0"/>
          <c:extLst xmlns:c16r2="http://schemas.microsoft.com/office/drawing/2015/06/chart">
            <c:ext xmlns:c16="http://schemas.microsoft.com/office/drawing/2014/chart" uri="{C3380CC4-5D6E-409C-BE32-E72D297353CC}">
              <c16:uniqueId val="{00000000-E58D-4E7A-A66C-F3510A5ABEDB}"/>
            </c:ext>
          </c:extLst>
        </c:ser>
        <c:ser>
          <c:idx val="0"/>
          <c:order val="1"/>
          <c:tx>
            <c:strRef>
              <c:f>'DS Calculations'!$A$19</c:f>
              <c:strCache>
                <c:ptCount val="1"/>
                <c:pt idx="0">
                  <c:v>China</c:v>
                </c:pt>
              </c:strCache>
            </c:strRef>
          </c:tx>
          <c:marker>
            <c:symbol val="none"/>
          </c:marker>
          <c:cat>
            <c:numRef>
              <c:f>'DS Calculations'!$B$15:$S$15</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'DS Calculations'!$B$19:$S$19</c:f>
              <c:numCache>
                <c:formatCode>_("$"* #,##0.00_);_("$"* \(#,##0.00\);_("$"* "-"??_);_(@_)</c:formatCode>
                <c:ptCount val="18"/>
                <c:pt idx="0">
                  <c:v>87233609600</c:v>
                </c:pt>
                <c:pt idx="1">
                  <c:v>104454619800</c:v>
                </c:pt>
                <c:pt idx="2">
                  <c:v>130685985300.00002</c:v>
                </c:pt>
                <c:pt idx="3">
                  <c:v>131736575100.00002</c:v>
                </c:pt>
                <c:pt idx="4">
                  <c:v>150826621400</c:v>
                </c:pt>
                <c:pt idx="5">
                  <c:v>195952575700</c:v>
                </c:pt>
                <c:pt idx="6">
                  <c:v>209051862800</c:v>
                </c:pt>
                <c:pt idx="7">
                  <c:v>218381903100.00003</c:v>
                </c:pt>
                <c:pt idx="8">
                  <c:v>224933360193.00003</c:v>
                </c:pt>
                <c:pt idx="9">
                  <c:v>231681360998.79001</c:v>
                </c:pt>
                <c:pt idx="10">
                  <c:v>238631801828.75372</c:v>
                </c:pt>
                <c:pt idx="11">
                  <c:v>245790755883.61636</c:v>
                </c:pt>
                <c:pt idx="12">
                  <c:v>253164478560.12485</c:v>
                </c:pt>
                <c:pt idx="13">
                  <c:v>260759412916.92859</c:v>
                </c:pt>
                <c:pt idx="14">
                  <c:v>268582195304.43643</c:v>
                </c:pt>
                <c:pt idx="15">
                  <c:v>276639661163.56952</c:v>
                </c:pt>
                <c:pt idx="16">
                  <c:v>284938850998.47662</c:v>
                </c:pt>
                <c:pt idx="17">
                  <c:v>293487016528.43097</c:v>
                </c:pt>
              </c:numCache>
            </c:numRef>
          </c:val>
          <c:smooth val="0"/>
          <c:extLst xmlns:c16r2="http://schemas.microsoft.com/office/drawing/2015/06/chart">
            <c:ext xmlns:c16="http://schemas.microsoft.com/office/drawing/2014/chart" uri="{C3380CC4-5D6E-409C-BE32-E72D297353CC}">
              <c16:uniqueId val="{00000001-E58D-4E7A-A66C-F3510A5ABEDB}"/>
            </c:ext>
          </c:extLst>
        </c:ser>
        <c:ser>
          <c:idx val="1"/>
          <c:order val="2"/>
          <c:tx>
            <c:strRef>
              <c:f>'DS Calculations'!$A$20</c:f>
              <c:strCache>
                <c:ptCount val="1"/>
                <c:pt idx="0">
                  <c:v>European Union</c:v>
                </c:pt>
              </c:strCache>
            </c:strRef>
          </c:tx>
          <c:marker>
            <c:symbol val="none"/>
          </c:marker>
          <c:cat>
            <c:numRef>
              <c:f>'DS Calculations'!$B$15:$S$15</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'DS Calculations'!$B$20:$S$20</c:f>
              <c:numCache>
                <c:formatCode>_("$"* #,##0.00_);_("$"* \(#,##0.00\);_("$"* "-"??_);_(@_)</c:formatCode>
                <c:ptCount val="18"/>
                <c:pt idx="0">
                  <c:v>125135495795.58807</c:v>
                </c:pt>
                <c:pt idx="1">
                  <c:v>131395538795.58807</c:v>
                </c:pt>
                <c:pt idx="2">
                  <c:v>136316061795.58807</c:v>
                </c:pt>
                <c:pt idx="3">
                  <c:v>128273123795.58807</c:v>
                </c:pt>
                <c:pt idx="4">
                  <c:v>129824164795.58807</c:v>
                </c:pt>
                <c:pt idx="5">
                  <c:v>135701684795.58807</c:v>
                </c:pt>
                <c:pt idx="6">
                  <c:v>133145876795.58807</c:v>
                </c:pt>
                <c:pt idx="7">
                  <c:v>135721475795.58807</c:v>
                </c:pt>
                <c:pt idx="8">
                  <c:v>136961809085.58807</c:v>
                </c:pt>
                <c:pt idx="9">
                  <c:v>138239352374.28809</c:v>
                </c:pt>
                <c:pt idx="10">
                  <c:v>139555221961.64908</c:v>
                </c:pt>
                <c:pt idx="11">
                  <c:v>140910567636.63092</c:v>
                </c:pt>
                <c:pt idx="12">
                  <c:v>142306573681.86218</c:v>
                </c:pt>
                <c:pt idx="13">
                  <c:v>143744459908.45041</c:v>
                </c:pt>
                <c:pt idx="14">
                  <c:v>145225482721.8363</c:v>
                </c:pt>
                <c:pt idx="15">
                  <c:v>146750936219.62372</c:v>
                </c:pt>
                <c:pt idx="16">
                  <c:v>148322153322.34479</c:v>
                </c:pt>
                <c:pt idx="17">
                  <c:v>149940506938.14749</c:v>
                </c:pt>
              </c:numCache>
            </c:numRef>
          </c:val>
          <c:smooth val="0"/>
          <c:extLst xmlns:c16r2="http://schemas.microsoft.com/office/drawing/2015/06/chart">
            <c:ext xmlns:c16="http://schemas.microsoft.com/office/drawing/2014/chart" uri="{C3380CC4-5D6E-409C-BE32-E72D297353CC}">
              <c16:uniqueId val="{00000002-E58D-4E7A-A66C-F3510A5ABEDB}"/>
            </c:ext>
          </c:extLst>
        </c:ser>
        <c:ser>
          <c:idx val="8"/>
          <c:order val="3"/>
          <c:tx>
            <c:strRef>
              <c:f>'DS Calculations'!$A$24</c:f>
              <c:strCache>
                <c:ptCount val="1"/>
                <c:pt idx="0">
                  <c:v>United States of America</c:v>
                </c:pt>
              </c:strCache>
            </c:strRef>
          </c:tx>
          <c:marker>
            <c:symbol val="none"/>
          </c:marker>
          <c:cat>
            <c:numRef>
              <c:f>'DS Calculations'!$B$15:$S$15</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'DS Calculations'!$B$24:$S$24</c:f>
              <c:numCache>
                <c:formatCode>_("$"* #,##0.00_);_("$"* \(#,##0.00\);_("$"* "-"??_);_(@_)</c:formatCode>
                <c:ptCount val="18"/>
                <c:pt idx="0">
                  <c:v>37275354000</c:v>
                </c:pt>
                <c:pt idx="1">
                  <c:v>43507358000</c:v>
                </c:pt>
                <c:pt idx="2">
                  <c:v>44029063000</c:v>
                </c:pt>
                <c:pt idx="3">
                  <c:v>41804075000</c:v>
                </c:pt>
                <c:pt idx="4">
                  <c:v>46696855000</c:v>
                </c:pt>
                <c:pt idx="5">
                  <c:v>49508893000</c:v>
                </c:pt>
                <c:pt idx="6">
                  <c:v>50668008000</c:v>
                </c:pt>
                <c:pt idx="7">
                  <c:v>50208429000</c:v>
                </c:pt>
                <c:pt idx="8">
                  <c:v>51141681870</c:v>
                </c:pt>
                <c:pt idx="9">
                  <c:v>52102932326.100006</c:v>
                </c:pt>
                <c:pt idx="10">
                  <c:v>53093020295.883003</c:v>
                </c:pt>
                <c:pt idx="11">
                  <c:v>54112810904.759491</c:v>
                </c:pt>
                <c:pt idx="12">
                  <c:v>55163195231.902275</c:v>
                </c:pt>
                <c:pt idx="13">
                  <c:v>56245091088.859344</c:v>
                </c:pt>
                <c:pt idx="14">
                  <c:v>57359443821.525124</c:v>
                </c:pt>
                <c:pt idx="15">
                  <c:v>58507227136.170876</c:v>
                </c:pt>
                <c:pt idx="16">
                  <c:v>59689443950.256004</c:v>
                </c:pt>
                <c:pt idx="17">
                  <c:v>60907127268.76368</c:v>
                </c:pt>
              </c:numCache>
            </c:numRef>
          </c:val>
          <c:smooth val="0"/>
          <c:extLst xmlns:c16r2="http://schemas.microsoft.com/office/drawing/2015/06/chart">
            <c:ext xmlns:c16="http://schemas.microsoft.com/office/drawing/2014/chart" uri="{C3380CC4-5D6E-409C-BE32-E72D297353CC}">
              <c16:uniqueId val="{00000003-E58D-4E7A-A66C-F3510A5ABEDB}"/>
            </c:ext>
          </c:extLst>
        </c:ser>
        <c:dLbls>
          <c:showLegendKey val="0"/>
          <c:showVal val="0"/>
          <c:showCatName val="0"/>
          <c:showSerName val="0"/>
          <c:showPercent val="0"/>
          <c:showBubbleSize val="0"/>
        </c:dLbls>
        <c:marker val="1"/>
        <c:smooth val="0"/>
        <c:axId val="405327872"/>
        <c:axId val="405329408"/>
      </c:lineChart>
      <c:catAx>
        <c:axId val="405327872"/>
        <c:scaling>
          <c:orientation val="minMax"/>
        </c:scaling>
        <c:delete val="0"/>
        <c:axPos val="b"/>
        <c:numFmt formatCode="General" sourceLinked="1"/>
        <c:majorTickMark val="out"/>
        <c:minorTickMark val="none"/>
        <c:tickLblPos val="nextTo"/>
        <c:crossAx val="405329408"/>
        <c:crosses val="autoZero"/>
        <c:auto val="1"/>
        <c:lblAlgn val="ctr"/>
        <c:lblOffset val="100"/>
        <c:tickLblSkip val="2"/>
        <c:noMultiLvlLbl val="0"/>
      </c:catAx>
      <c:valAx>
        <c:axId val="405329408"/>
        <c:scaling>
          <c:orientation val="minMax"/>
        </c:scaling>
        <c:delete val="0"/>
        <c:axPos val="l"/>
        <c:majorGridlines/>
        <c:numFmt formatCode="&quot;$&quot;#,##0" sourceLinked="0"/>
        <c:majorTickMark val="out"/>
        <c:minorTickMark val="none"/>
        <c:tickLblPos val="nextTo"/>
        <c:crossAx val="405327872"/>
        <c:crosses val="autoZero"/>
        <c:crossBetween val="between"/>
        <c:dispUnits>
          <c:builtInUnit val="billions"/>
          <c:dispUnitsLbl>
            <c:layout>
              <c:manualLayout>
                <c:xMode val="edge"/>
                <c:yMode val="edge"/>
                <c:x val="6.456800702786895E-3"/>
                <c:y val="0.31290582502334097"/>
              </c:manualLayout>
            </c:layout>
          </c:dispUnitsLbl>
        </c:dispUnits>
      </c:valAx>
    </c:plotArea>
    <c:legend>
      <c:legendPos val="r"/>
      <c:layout>
        <c:manualLayout>
          <c:xMode val="edge"/>
          <c:yMode val="edge"/>
          <c:x val="0.11407190630945259"/>
          <c:y val="0.84007452848029418"/>
          <c:w val="0.80105471928945227"/>
          <c:h val="0.15992557892288781"/>
        </c:manualLayout>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checked="Checked" fmlaLink="B6" lockText="1" noThreeD="1"/>
</file>

<file path=xl/ctrlProps/ctrlProp10.xml><?xml version="1.0" encoding="utf-8"?>
<formControlPr xmlns="http://schemas.microsoft.com/office/spreadsheetml/2009/9/main" objectType="CheckBox" fmlaLink="F13" lockText="1" noThreeD="1"/>
</file>

<file path=xl/ctrlProps/ctrlProp11.xml><?xml version="1.0" encoding="utf-8"?>
<formControlPr xmlns="http://schemas.microsoft.com/office/spreadsheetml/2009/9/main" objectType="CheckBox" checked="Checked" fmlaLink="H13" lockText="1" noThreeD="1"/>
</file>

<file path=xl/ctrlProps/ctrlProp12.xml><?xml version="1.0" encoding="utf-8"?>
<formControlPr xmlns="http://schemas.microsoft.com/office/spreadsheetml/2009/9/main" objectType="CheckBox" fmlaLink="I13" lockText="1" noThreeD="1"/>
</file>

<file path=xl/ctrlProps/ctrlProp13.xml><?xml version="1.0" encoding="utf-8"?>
<formControlPr xmlns="http://schemas.microsoft.com/office/spreadsheetml/2009/9/main" objectType="CheckBox" fmlaLink="K6" lockText="1" noThreeD="1"/>
</file>

<file path=xl/ctrlProps/ctrlProp14.xml><?xml version="1.0" encoding="utf-8"?>
<formControlPr xmlns="http://schemas.microsoft.com/office/spreadsheetml/2009/9/main" objectType="CheckBox" fmlaLink="K13" lockText="1" noThreeD="1"/>
</file>

<file path=xl/ctrlProps/ctrlProp15.xml><?xml version="1.0" encoding="utf-8"?>
<formControlPr xmlns="http://schemas.microsoft.com/office/spreadsheetml/2009/9/main" objectType="CheckBox" fmlaLink="J20" lockText="1" noThreeD="1"/>
</file>

<file path=xl/ctrlProps/ctrlProp16.xml><?xml version="1.0" encoding="utf-8"?>
<formControlPr xmlns="http://schemas.microsoft.com/office/spreadsheetml/2009/9/main" objectType="CheckBox" checked="Checked" fmlaLink="G20" lockText="1" noThreeD="1"/>
</file>

<file path=xl/ctrlProps/ctrlProp17.xml><?xml version="1.0" encoding="utf-8"?>
<formControlPr xmlns="http://schemas.microsoft.com/office/spreadsheetml/2009/9/main" objectType="CheckBox" checked="Checked" fmlaLink="B20" lockText="1" noThreeD="1"/>
</file>

<file path=xl/ctrlProps/ctrlProp18.xml><?xml version="1.0" encoding="utf-8"?>
<formControlPr xmlns="http://schemas.microsoft.com/office/spreadsheetml/2009/9/main" objectType="CheckBox" checked="Checked" fmlaLink="'OTDS Tab Calculations'!$A$68" lockText="1" noThreeD="1"/>
</file>

<file path=xl/ctrlProps/ctrlProp19.xml><?xml version="1.0" encoding="utf-8"?>
<formControlPr xmlns="http://schemas.microsoft.com/office/spreadsheetml/2009/9/main" objectType="CheckBox" checked="Checked" fmlaLink="'OTDS Tab Calculations'!$A$69" lockText="1" noThreeD="1"/>
</file>

<file path=xl/ctrlProps/ctrlProp2.xml><?xml version="1.0" encoding="utf-8"?>
<formControlPr xmlns="http://schemas.microsoft.com/office/spreadsheetml/2009/9/main" objectType="CheckBox" fmlaLink="C6" lockText="1" noThreeD="1"/>
</file>

<file path=xl/ctrlProps/ctrlProp20.xml><?xml version="1.0" encoding="utf-8"?>
<formControlPr xmlns="http://schemas.microsoft.com/office/spreadsheetml/2009/9/main" objectType="CheckBox" checked="Checked" fmlaLink="'OTDS Tab Calculations'!$A$70" lockText="1" noThreeD="1"/>
</file>

<file path=xl/ctrlProps/ctrlProp21.xml><?xml version="1.0" encoding="utf-8"?>
<formControlPr xmlns="http://schemas.microsoft.com/office/spreadsheetml/2009/9/main" objectType="CheckBox" checked="Checked" fmlaLink="'OTDS Tab Calculations'!$A$71" lockText="1" noThreeD="1"/>
</file>

<file path=xl/ctrlProps/ctrlProp22.xml><?xml version="1.0" encoding="utf-8"?>
<formControlPr xmlns="http://schemas.microsoft.com/office/spreadsheetml/2009/9/main" objectType="CheckBox" checked="Checked" fmlaLink="'OTDS Tab Calculations'!$A$72" lockText="1" noThreeD="1"/>
</file>

<file path=xl/ctrlProps/ctrlProp23.xml><?xml version="1.0" encoding="utf-8"?>
<formControlPr xmlns="http://schemas.microsoft.com/office/spreadsheetml/2009/9/main" objectType="CheckBox" checked="Checked" fmlaLink="'OTDS Tab Calculations'!$A$73" lockText="1" noThreeD="1"/>
</file>

<file path=xl/ctrlProps/ctrlProp24.xml><?xml version="1.0" encoding="utf-8"?>
<formControlPr xmlns="http://schemas.microsoft.com/office/spreadsheetml/2009/9/main" objectType="CheckBox" checked="Checked" fmlaLink="'OTDS Tab Calculations'!$A$74" lockText="1" noThreeD="1"/>
</file>

<file path=xl/ctrlProps/ctrlProp25.xml><?xml version="1.0" encoding="utf-8"?>
<formControlPr xmlns="http://schemas.microsoft.com/office/spreadsheetml/2009/9/main" objectType="CheckBox" checked="Checked" fmlaLink="'OTDS Tab Calculations'!$A$75" lockText="1" noThreeD="1"/>
</file>

<file path=xl/ctrlProps/ctrlProp26.xml><?xml version="1.0" encoding="utf-8"?>
<formControlPr xmlns="http://schemas.microsoft.com/office/spreadsheetml/2009/9/main" objectType="CheckBox" checked="Checked" fmlaLink="'OTDS Tab Calculations'!$A$76" lockText="1" noThreeD="1"/>
</file>

<file path=xl/ctrlProps/ctrlProp27.xml><?xml version="1.0" encoding="utf-8"?>
<formControlPr xmlns="http://schemas.microsoft.com/office/spreadsheetml/2009/9/main" objectType="CheckBox" checked="Checked" fmlaLink="'OTDS Tab Calculations'!$A$77" lockText="1" noThreeD="1"/>
</file>

<file path=xl/ctrlProps/ctrlProp28.xml><?xml version="1.0" encoding="utf-8"?>
<formControlPr xmlns="http://schemas.microsoft.com/office/spreadsheetml/2009/9/main" objectType="CheckBox" fmlaLink="B8" lockText="1" noThreeD="1"/>
</file>

<file path=xl/ctrlProps/ctrlProp29.xml><?xml version="1.0" encoding="utf-8"?>
<formControlPr xmlns="http://schemas.microsoft.com/office/spreadsheetml/2009/9/main" objectType="CheckBox" fmlaLink="B15" lockText="1" noThreeD="1"/>
</file>

<file path=xl/ctrlProps/ctrlProp3.xml><?xml version="1.0" encoding="utf-8"?>
<formControlPr xmlns="http://schemas.microsoft.com/office/spreadsheetml/2009/9/main" objectType="CheckBox" checked="Checked" fmlaLink="E6" lockText="1" noThreeD="1"/>
</file>

<file path=xl/ctrlProps/ctrlProp4.xml><?xml version="1.0" encoding="utf-8"?>
<formControlPr xmlns="http://schemas.microsoft.com/office/spreadsheetml/2009/9/main" objectType="CheckBox" fmlaLink="F6" lockText="1" noThreeD="1"/>
</file>

<file path=xl/ctrlProps/ctrlProp5.xml><?xml version="1.0" encoding="utf-8"?>
<formControlPr xmlns="http://schemas.microsoft.com/office/spreadsheetml/2009/9/main" objectType="CheckBox" checked="Checked" fmlaLink="H6" lockText="1" noThreeD="1"/>
</file>

<file path=xl/ctrlProps/ctrlProp6.xml><?xml version="1.0" encoding="utf-8"?>
<formControlPr xmlns="http://schemas.microsoft.com/office/spreadsheetml/2009/9/main" objectType="CheckBox" fmlaLink="I6" lockText="1" noThreeD="1"/>
</file>

<file path=xl/ctrlProps/ctrlProp7.xml><?xml version="1.0" encoding="utf-8"?>
<formControlPr xmlns="http://schemas.microsoft.com/office/spreadsheetml/2009/9/main" objectType="CheckBox" checked="Checked" fmlaLink="B13" lockText="1" noThreeD="1"/>
</file>

<file path=xl/ctrlProps/ctrlProp8.xml><?xml version="1.0" encoding="utf-8"?>
<formControlPr xmlns="http://schemas.microsoft.com/office/spreadsheetml/2009/9/main" objectType="CheckBox" fmlaLink="C13" lockText="1" noThreeD="1"/>
</file>

<file path=xl/ctrlProps/ctrlProp9.xml><?xml version="1.0" encoding="utf-8"?>
<formControlPr xmlns="http://schemas.microsoft.com/office/spreadsheetml/2009/9/main" objectType="CheckBox" checked="Checked" fmlaLink="E13" lockText="1" noThreeD="1"/>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jpe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chart" Target="../charts/chart22.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image" Target="../media/image1.jpeg"/><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_rels/vmlDrawing3.vml.rels><?xml version="1.0" encoding="UTF-8" standalone="yes"?>
<Relationships xmlns="http://schemas.openxmlformats.org/package/2006/relationships"><Relationship Id="rId8" Type="http://schemas.openxmlformats.org/officeDocument/2006/relationships/image" Target="../media/image18.emf"/><Relationship Id="rId13" Type="http://schemas.openxmlformats.org/officeDocument/2006/relationships/image" Target="../media/image19.emf"/><Relationship Id="rId18" Type="http://schemas.openxmlformats.org/officeDocument/2006/relationships/image" Target="../media/image4.emf"/><Relationship Id="rId3" Type="http://schemas.openxmlformats.org/officeDocument/2006/relationships/image" Target="../media/image11.emf"/><Relationship Id="rId7" Type="http://schemas.openxmlformats.org/officeDocument/2006/relationships/image" Target="../media/image17.emf"/><Relationship Id="rId12" Type="http://schemas.openxmlformats.org/officeDocument/2006/relationships/image" Target="../media/image7.emf"/><Relationship Id="rId17" Type="http://schemas.openxmlformats.org/officeDocument/2006/relationships/image" Target="../media/image2.emf"/><Relationship Id="rId2" Type="http://schemas.openxmlformats.org/officeDocument/2006/relationships/image" Target="../media/image12.emf"/><Relationship Id="rId16" Type="http://schemas.openxmlformats.org/officeDocument/2006/relationships/image" Target="../media/image5.emf"/><Relationship Id="rId1" Type="http://schemas.openxmlformats.org/officeDocument/2006/relationships/image" Target="../media/image13.emf"/><Relationship Id="rId6" Type="http://schemas.openxmlformats.org/officeDocument/2006/relationships/image" Target="../media/image16.emf"/><Relationship Id="rId11" Type="http://schemas.openxmlformats.org/officeDocument/2006/relationships/image" Target="../media/image8.emf"/><Relationship Id="rId5" Type="http://schemas.openxmlformats.org/officeDocument/2006/relationships/image" Target="../media/image15.emf"/><Relationship Id="rId15" Type="http://schemas.openxmlformats.org/officeDocument/2006/relationships/image" Target="../media/image6.emf"/><Relationship Id="rId10" Type="http://schemas.openxmlformats.org/officeDocument/2006/relationships/image" Target="../media/image9.emf"/><Relationship Id="rId19" Type="http://schemas.openxmlformats.org/officeDocument/2006/relationships/image" Target="../media/image3.emf"/><Relationship Id="rId4" Type="http://schemas.openxmlformats.org/officeDocument/2006/relationships/image" Target="../media/image14.emf"/><Relationship Id="rId9" Type="http://schemas.openxmlformats.org/officeDocument/2006/relationships/image" Target="../media/image10.emf"/><Relationship Id="rId1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xdr:from>
      <xdr:col>5</xdr:col>
      <xdr:colOff>0</xdr:colOff>
      <xdr:row>12</xdr:row>
      <xdr:rowOff>112897</xdr:rowOff>
    </xdr:from>
    <xdr:to>
      <xdr:col>13</xdr:col>
      <xdr:colOff>605117</xdr:colOff>
      <xdr:row>31</xdr:row>
      <xdr:rowOff>11206</xdr:rowOff>
    </xdr:to>
    <xdr:graphicFrame macro="">
      <xdr:nvGraphicFramePr>
        <xdr:cNvPr id="7" name="Chart 6">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508268</xdr:colOff>
      <xdr:row>8</xdr:row>
      <xdr:rowOff>74437</xdr:rowOff>
    </xdr:from>
    <xdr:to>
      <xdr:col>8</xdr:col>
      <xdr:colOff>1038947</xdr:colOff>
      <xdr:row>12</xdr:row>
      <xdr:rowOff>33618</xdr:rowOff>
    </xdr:to>
    <xdr:sp macro="" textlink="">
      <xdr:nvSpPr>
        <xdr:cNvPr id="8" name="Left Arrow 7">
          <a:extLst>
            <a:ext uri="{FF2B5EF4-FFF2-40B4-BE49-F238E27FC236}">
              <a16:creationId xmlns="" xmlns:a16="http://schemas.microsoft.com/office/drawing/2014/main" id="{00000000-0008-0000-0000-000008000000}"/>
            </a:ext>
          </a:extLst>
        </xdr:cNvPr>
        <xdr:cNvSpPr/>
      </xdr:nvSpPr>
      <xdr:spPr>
        <a:xfrm rot="16200000">
          <a:off x="9377723" y="2668599"/>
          <a:ext cx="855652" cy="530679"/>
        </a:xfrm>
        <a:prstGeom prst="leftArrow">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40821</xdr:colOff>
      <xdr:row>11</xdr:row>
      <xdr:rowOff>81643</xdr:rowOff>
    </xdr:from>
    <xdr:to>
      <xdr:col>4</xdr:col>
      <xdr:colOff>367393</xdr:colOff>
      <xdr:row>11</xdr:row>
      <xdr:rowOff>190500</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646714" y="3292929"/>
          <a:ext cx="326572" cy="108857"/>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285750</xdr:colOff>
      <xdr:row>3</xdr:row>
      <xdr:rowOff>54428</xdr:rowOff>
    </xdr:from>
    <xdr:to>
      <xdr:col>4</xdr:col>
      <xdr:colOff>408214</xdr:colOff>
      <xdr:row>11</xdr:row>
      <xdr:rowOff>190500</xdr:rowOff>
    </xdr:to>
    <xdr:sp macro="" textlink="">
      <xdr:nvSpPr>
        <xdr:cNvPr id="10" name="Rectangle 9">
          <a:extLst>
            <a:ext uri="{FF2B5EF4-FFF2-40B4-BE49-F238E27FC236}">
              <a16:creationId xmlns="" xmlns:a16="http://schemas.microsoft.com/office/drawing/2014/main" id="{00000000-0008-0000-0000-00000A000000}"/>
            </a:ext>
          </a:extLst>
        </xdr:cNvPr>
        <xdr:cNvSpPr/>
      </xdr:nvSpPr>
      <xdr:spPr>
        <a:xfrm>
          <a:off x="3891643" y="1265464"/>
          <a:ext cx="122464" cy="213632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299357</xdr:colOff>
      <xdr:row>2</xdr:row>
      <xdr:rowOff>215514</xdr:rowOff>
    </xdr:from>
    <xdr:to>
      <xdr:col>4</xdr:col>
      <xdr:colOff>693965</xdr:colOff>
      <xdr:row>4</xdr:row>
      <xdr:rowOff>11821</xdr:rowOff>
    </xdr:to>
    <xdr:sp macro="" textlink="">
      <xdr:nvSpPr>
        <xdr:cNvPr id="3" name="Right Arrow 2">
          <a:extLst>
            <a:ext uri="{FF2B5EF4-FFF2-40B4-BE49-F238E27FC236}">
              <a16:creationId xmlns="" xmlns:a16="http://schemas.microsoft.com/office/drawing/2014/main" id="{00000000-0008-0000-0000-000003000000}"/>
            </a:ext>
          </a:extLst>
        </xdr:cNvPr>
        <xdr:cNvSpPr/>
      </xdr:nvSpPr>
      <xdr:spPr>
        <a:xfrm>
          <a:off x="4055479" y="746605"/>
          <a:ext cx="394608" cy="258125"/>
        </a:xfrm>
        <a:prstGeom prst="rightArrow">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12</xdr:col>
      <xdr:colOff>95435</xdr:colOff>
      <xdr:row>6</xdr:row>
      <xdr:rowOff>220648</xdr:rowOff>
    </xdr:from>
    <xdr:to>
      <xdr:col>14</xdr:col>
      <xdr:colOff>385</xdr:colOff>
      <xdr:row>10</xdr:row>
      <xdr:rowOff>165225</xdr:rowOff>
    </xdr:to>
    <xdr:pic>
      <xdr:nvPicPr>
        <xdr:cNvPr id="9" name="Picture 8" descr="Image result for Department of Foreign Affairs and Trade">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98102" y="1860103"/>
          <a:ext cx="2152079" cy="1049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56028</xdr:colOff>
      <xdr:row>27</xdr:row>
      <xdr:rowOff>347382</xdr:rowOff>
    </xdr:from>
    <xdr:to>
      <xdr:col>4</xdr:col>
      <xdr:colOff>560293</xdr:colOff>
      <xdr:row>27</xdr:row>
      <xdr:rowOff>475412</xdr:rowOff>
    </xdr:to>
    <xdr:sp macro="" textlink="">
      <xdr:nvSpPr>
        <xdr:cNvPr id="11" name="Rectangle 10">
          <a:extLst>
            <a:ext uri="{FF2B5EF4-FFF2-40B4-BE49-F238E27FC236}">
              <a16:creationId xmlns="" xmlns:a16="http://schemas.microsoft.com/office/drawing/2014/main" id="{00000000-0008-0000-0000-00000B000000}"/>
            </a:ext>
          </a:extLst>
        </xdr:cNvPr>
        <xdr:cNvSpPr/>
      </xdr:nvSpPr>
      <xdr:spPr>
        <a:xfrm>
          <a:off x="3529852" y="7295029"/>
          <a:ext cx="504265" cy="12803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457841</xdr:colOff>
      <xdr:row>11</xdr:row>
      <xdr:rowOff>123266</xdr:rowOff>
    </xdr:from>
    <xdr:to>
      <xdr:col>4</xdr:col>
      <xdr:colOff>560294</xdr:colOff>
      <xdr:row>27</xdr:row>
      <xdr:rowOff>448238</xdr:rowOff>
    </xdr:to>
    <xdr:sp macro="" textlink="">
      <xdr:nvSpPr>
        <xdr:cNvPr id="12" name="Rectangle 11">
          <a:extLst>
            <a:ext uri="{FF2B5EF4-FFF2-40B4-BE49-F238E27FC236}">
              <a16:creationId xmlns="" xmlns:a16="http://schemas.microsoft.com/office/drawing/2014/main" id="{00000000-0008-0000-0000-00000C000000}"/>
            </a:ext>
          </a:extLst>
        </xdr:cNvPr>
        <xdr:cNvSpPr/>
      </xdr:nvSpPr>
      <xdr:spPr>
        <a:xfrm>
          <a:off x="3931665" y="3092825"/>
          <a:ext cx="102453" cy="4303060"/>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xdr:col>
      <xdr:colOff>460241</xdr:colOff>
      <xdr:row>11</xdr:row>
      <xdr:rowOff>33617</xdr:rowOff>
    </xdr:from>
    <xdr:to>
      <xdr:col>5</xdr:col>
      <xdr:colOff>22412</xdr:colOff>
      <xdr:row>12</xdr:row>
      <xdr:rowOff>16010</xdr:rowOff>
    </xdr:to>
    <xdr:sp macro="" textlink="">
      <xdr:nvSpPr>
        <xdr:cNvPr id="13" name="Right Arrow 12">
          <a:extLst>
            <a:ext uri="{FF2B5EF4-FFF2-40B4-BE49-F238E27FC236}">
              <a16:creationId xmlns="" xmlns:a16="http://schemas.microsoft.com/office/drawing/2014/main" id="{00000000-0008-0000-0000-00000D000000}"/>
            </a:ext>
          </a:extLst>
        </xdr:cNvPr>
        <xdr:cNvSpPr/>
      </xdr:nvSpPr>
      <xdr:spPr>
        <a:xfrm>
          <a:off x="3934065" y="3003176"/>
          <a:ext cx="256935" cy="217716"/>
        </a:xfrm>
        <a:prstGeom prst="rightArrow">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1591235</xdr:colOff>
      <xdr:row>31</xdr:row>
      <xdr:rowOff>56029</xdr:rowOff>
    </xdr:from>
    <xdr:to>
      <xdr:col>1</xdr:col>
      <xdr:colOff>1680882</xdr:colOff>
      <xdr:row>31</xdr:row>
      <xdr:rowOff>201705</xdr:rowOff>
    </xdr:to>
    <xdr:sp macro="" textlink="">
      <xdr:nvSpPr>
        <xdr:cNvPr id="4" name="Down Arrow 3">
          <a:extLst>
            <a:ext uri="{FF2B5EF4-FFF2-40B4-BE49-F238E27FC236}">
              <a16:creationId xmlns="" xmlns:a16="http://schemas.microsoft.com/office/drawing/2014/main" id="{00000000-0008-0000-0000-000004000000}"/>
            </a:ext>
          </a:extLst>
        </xdr:cNvPr>
        <xdr:cNvSpPr/>
      </xdr:nvSpPr>
      <xdr:spPr>
        <a:xfrm>
          <a:off x="1714500" y="8382000"/>
          <a:ext cx="89647" cy="145676"/>
        </a:xfrm>
        <a:prstGeom prst="downArrow">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193099</xdr:colOff>
      <xdr:row>37</xdr:row>
      <xdr:rowOff>154625</xdr:rowOff>
    </xdr:from>
    <xdr:to>
      <xdr:col>7</xdr:col>
      <xdr:colOff>1500234</xdr:colOff>
      <xdr:row>60</xdr:row>
      <xdr:rowOff>141112</xdr:rowOff>
    </xdr:to>
    <xdr:graphicFrame macro="">
      <xdr:nvGraphicFramePr>
        <xdr:cNvPr id="5" name="Chart 4">
          <a:extLst>
            <a:ext uri="{FF2B5EF4-FFF2-40B4-BE49-F238E27FC236}">
              <a16:creationId xmlns="" xmlns:a16="http://schemas.microsoft.com/office/drawing/2014/main" id="{CB0CD059-BC12-41A9-82B3-DAF64486F6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178246</xdr:colOff>
      <xdr:row>37</xdr:row>
      <xdr:rowOff>154625</xdr:rowOff>
    </xdr:from>
    <xdr:to>
      <xdr:col>13</xdr:col>
      <xdr:colOff>549592</xdr:colOff>
      <xdr:row>60</xdr:row>
      <xdr:rowOff>141112</xdr:rowOff>
    </xdr:to>
    <xdr:graphicFrame macro="">
      <xdr:nvGraphicFramePr>
        <xdr:cNvPr id="14" name="Chart 13">
          <a:extLst>
            <a:ext uri="{FF2B5EF4-FFF2-40B4-BE49-F238E27FC236}">
              <a16:creationId xmlns="" xmlns:a16="http://schemas.microsoft.com/office/drawing/2014/main" id="{514D7DE2-B156-43D4-9E08-2279E2E45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193099</xdr:colOff>
      <xdr:row>62</xdr:row>
      <xdr:rowOff>14853</xdr:rowOff>
    </xdr:from>
    <xdr:to>
      <xdr:col>13</xdr:col>
      <xdr:colOff>546485</xdr:colOff>
      <xdr:row>85</xdr:row>
      <xdr:rowOff>1339</xdr:rowOff>
    </xdr:to>
    <xdr:graphicFrame macro="">
      <xdr:nvGraphicFramePr>
        <xdr:cNvPr id="15" name="Chart 14">
          <a:extLst>
            <a:ext uri="{FF2B5EF4-FFF2-40B4-BE49-F238E27FC236}">
              <a16:creationId xmlns="" xmlns:a16="http://schemas.microsoft.com/office/drawing/2014/main" id="{202ED374-B51F-49F5-AFFF-D25E1D491D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193099</xdr:colOff>
      <xdr:row>86</xdr:row>
      <xdr:rowOff>126257</xdr:rowOff>
    </xdr:from>
    <xdr:to>
      <xdr:col>7</xdr:col>
      <xdr:colOff>1500234</xdr:colOff>
      <xdr:row>109</xdr:row>
      <xdr:rowOff>112743</xdr:rowOff>
    </xdr:to>
    <xdr:graphicFrame macro="">
      <xdr:nvGraphicFramePr>
        <xdr:cNvPr id="16" name="Chart 15">
          <a:extLst>
            <a:ext uri="{FF2B5EF4-FFF2-40B4-BE49-F238E27FC236}">
              <a16:creationId xmlns="" xmlns:a16="http://schemas.microsoft.com/office/drawing/2014/main" id="{D92E496A-EEA6-4F6B-BDAB-EC62C8FFA8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176203</xdr:colOff>
      <xdr:row>86</xdr:row>
      <xdr:rowOff>126257</xdr:rowOff>
    </xdr:from>
    <xdr:to>
      <xdr:col>13</xdr:col>
      <xdr:colOff>547549</xdr:colOff>
      <xdr:row>109</xdr:row>
      <xdr:rowOff>112743</xdr:rowOff>
    </xdr:to>
    <xdr:graphicFrame macro="">
      <xdr:nvGraphicFramePr>
        <xdr:cNvPr id="17" name="Chart 16">
          <a:extLst>
            <a:ext uri="{FF2B5EF4-FFF2-40B4-BE49-F238E27FC236}">
              <a16:creationId xmlns="" xmlns:a16="http://schemas.microsoft.com/office/drawing/2014/main" id="{77089AF8-71B2-455E-A603-565918D435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204106</xdr:colOff>
      <xdr:row>112</xdr:row>
      <xdr:rowOff>145595</xdr:rowOff>
    </xdr:from>
    <xdr:to>
      <xdr:col>13</xdr:col>
      <xdr:colOff>612320</xdr:colOff>
      <xdr:row>133</xdr:row>
      <xdr:rowOff>81643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1823357</xdr:colOff>
      <xdr:row>113</xdr:row>
      <xdr:rowOff>136070</xdr:rowOff>
    </xdr:from>
    <xdr:to>
      <xdr:col>5</xdr:col>
      <xdr:colOff>1415143</xdr:colOff>
      <xdr:row>119</xdr:row>
      <xdr:rowOff>176892</xdr:rowOff>
    </xdr:to>
    <xdr:sp macro="" textlink="'Machine Calculations'!B165">
      <xdr:nvSpPr>
        <xdr:cNvPr id="18" name="Rounded Rectangle 17"/>
        <xdr:cNvSpPr/>
      </xdr:nvSpPr>
      <xdr:spPr>
        <a:xfrm>
          <a:off x="1945821" y="28302856"/>
          <a:ext cx="3646715" cy="1510393"/>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fld id="{29F87B15-4A95-4588-B0DB-3B90C4D157F4}" type="TxLink">
            <a:rPr lang="en-US" sz="1300" b="1" i="0" u="none" strike="noStrike">
              <a:solidFill>
                <a:srgbClr val="000000"/>
              </a:solidFill>
              <a:latin typeface="Calibri"/>
            </a:rPr>
            <a:pPr algn="ctr"/>
            <a:t>Japan - 3% (VoP) 3% (TDS)
</a:t>
          </a:fld>
          <a:endParaRPr lang="en-AU" sz="1300" b="1"/>
        </a:p>
      </xdr:txBody>
    </xdr:sp>
    <xdr:clientData/>
  </xdr:twoCellAnchor>
  <xdr:twoCellAnchor>
    <xdr:from>
      <xdr:col>2</xdr:col>
      <xdr:colOff>462643</xdr:colOff>
      <xdr:row>114</xdr:row>
      <xdr:rowOff>149679</xdr:rowOff>
    </xdr:from>
    <xdr:to>
      <xdr:col>5</xdr:col>
      <xdr:colOff>775607</xdr:colOff>
      <xdr:row>115</xdr:row>
      <xdr:rowOff>163286</xdr:rowOff>
    </xdr:to>
    <xdr:sp macro="" textlink="">
      <xdr:nvSpPr>
        <xdr:cNvPr id="19" name="Rectangle 18"/>
        <xdr:cNvSpPr/>
      </xdr:nvSpPr>
      <xdr:spPr>
        <a:xfrm>
          <a:off x="2476500" y="28561393"/>
          <a:ext cx="2476500" cy="2585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600" b="1" u="sng">
              <a:solidFill>
                <a:sysClr val="windowText" lastClr="000000"/>
              </a:solidFill>
            </a:rPr>
            <a:t>Growth Rates</a:t>
          </a:r>
        </a:p>
      </xdr:txBody>
    </xdr:sp>
    <xdr:clientData/>
  </xdr:twoCellAnchor>
  <xdr:twoCellAnchor>
    <xdr:from>
      <xdr:col>7</xdr:col>
      <xdr:colOff>979714</xdr:colOff>
      <xdr:row>110</xdr:row>
      <xdr:rowOff>27214</xdr:rowOff>
    </xdr:from>
    <xdr:to>
      <xdr:col>8</xdr:col>
      <xdr:colOff>612321</xdr:colOff>
      <xdr:row>112</xdr:row>
      <xdr:rowOff>27215</xdr:rowOff>
    </xdr:to>
    <xdr:sp macro="" textlink="">
      <xdr:nvSpPr>
        <xdr:cNvPr id="21" name="Rectangle 20"/>
        <xdr:cNvSpPr/>
      </xdr:nvSpPr>
      <xdr:spPr>
        <a:xfrm>
          <a:off x="8518071" y="27459214"/>
          <a:ext cx="1143000" cy="4898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2800" b="1">
              <a:solidFill>
                <a:srgbClr val="FFFF00"/>
              </a:solidFill>
            </a:rPr>
            <a:t>vs</a:t>
          </a:r>
          <a:endParaRPr lang="en-AU" sz="1100" b="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28575</xdr:colOff>
      <xdr:row>25</xdr:row>
      <xdr:rowOff>19050</xdr:rowOff>
    </xdr:from>
    <xdr:to>
      <xdr:col>16</xdr:col>
      <xdr:colOff>962025</xdr:colOff>
      <xdr:row>46</xdr:row>
      <xdr:rowOff>161925</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50</xdr:row>
      <xdr:rowOff>0</xdr:rowOff>
    </xdr:from>
    <xdr:to>
      <xdr:col>16</xdr:col>
      <xdr:colOff>933450</xdr:colOff>
      <xdr:row>73</xdr:row>
      <xdr:rowOff>133350</xdr:rowOff>
    </xdr:to>
    <xdr:graphicFrame macro="">
      <xdr:nvGraphicFramePr>
        <xdr:cNvPr id="3" name="Chart 2">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95249</xdr:rowOff>
    </xdr:from>
    <xdr:to>
      <xdr:col>9</xdr:col>
      <xdr:colOff>0</xdr:colOff>
      <xdr:row>22</xdr:row>
      <xdr:rowOff>29849</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57150</xdr:rowOff>
    </xdr:from>
    <xdr:to>
      <xdr:col>9</xdr:col>
      <xdr:colOff>0</xdr:colOff>
      <xdr:row>31</xdr:row>
      <xdr:rowOff>181575</xdr:rowOff>
    </xdr:to>
    <xdr:graphicFrame macro="">
      <xdr:nvGraphicFramePr>
        <xdr:cNvPr id="3" name="Chart 2">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140488</xdr:colOff>
      <xdr:row>36</xdr:row>
      <xdr:rowOff>149758</xdr:rowOff>
    </xdr:from>
    <xdr:to>
      <xdr:col>8</xdr:col>
      <xdr:colOff>179949</xdr:colOff>
      <xdr:row>51</xdr:row>
      <xdr:rowOff>35458</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140488</xdr:colOff>
      <xdr:row>51</xdr:row>
      <xdr:rowOff>121183</xdr:rowOff>
    </xdr:from>
    <xdr:to>
      <xdr:col>8</xdr:col>
      <xdr:colOff>179863</xdr:colOff>
      <xdr:row>66</xdr:row>
      <xdr:rowOff>6883</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8</xdr:col>
      <xdr:colOff>267981</xdr:colOff>
      <xdr:row>51</xdr:row>
      <xdr:rowOff>121183</xdr:rowOff>
    </xdr:from>
    <xdr:to>
      <xdr:col>15</xdr:col>
      <xdr:colOff>345456</xdr:colOff>
      <xdr:row>66</xdr:row>
      <xdr:rowOff>6883</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8</xdr:col>
      <xdr:colOff>267981</xdr:colOff>
      <xdr:row>66</xdr:row>
      <xdr:rowOff>138501</xdr:rowOff>
    </xdr:from>
    <xdr:to>
      <xdr:col>15</xdr:col>
      <xdr:colOff>359311</xdr:colOff>
      <xdr:row>81</xdr:row>
      <xdr:rowOff>24201</xdr:rowOff>
    </xdr:to>
    <xdr:graphicFrame macro="">
      <xdr:nvGraphicFramePr>
        <xdr:cNvPr id="4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8</xdr:col>
      <xdr:colOff>267981</xdr:colOff>
      <xdr:row>36</xdr:row>
      <xdr:rowOff>149758</xdr:rowOff>
    </xdr:from>
    <xdr:to>
      <xdr:col>15</xdr:col>
      <xdr:colOff>345456</xdr:colOff>
      <xdr:row>51</xdr:row>
      <xdr:rowOff>35458</xdr:rowOff>
    </xdr:to>
    <xdr:graphicFrame macro="">
      <xdr:nvGraphicFramePr>
        <xdr:cNvPr id="4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15</xdr:col>
      <xdr:colOff>425824</xdr:colOff>
      <xdr:row>36</xdr:row>
      <xdr:rowOff>149758</xdr:rowOff>
    </xdr:from>
    <xdr:to>
      <xdr:col>23</xdr:col>
      <xdr:colOff>122945</xdr:colOff>
      <xdr:row>51</xdr:row>
      <xdr:rowOff>35458</xdr:rowOff>
    </xdr:to>
    <xdr:graphicFrame macro="">
      <xdr:nvGraphicFramePr>
        <xdr:cNvPr id="4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15</xdr:col>
      <xdr:colOff>425824</xdr:colOff>
      <xdr:row>51</xdr:row>
      <xdr:rowOff>121183</xdr:rowOff>
    </xdr:from>
    <xdr:to>
      <xdr:col>23</xdr:col>
      <xdr:colOff>122299</xdr:colOff>
      <xdr:row>66</xdr:row>
      <xdr:rowOff>6883</xdr:rowOff>
    </xdr:to>
    <xdr:graphicFrame macro="">
      <xdr:nvGraphicFramePr>
        <xdr:cNvPr id="4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0</xdr:col>
      <xdr:colOff>140488</xdr:colOff>
      <xdr:row>66</xdr:row>
      <xdr:rowOff>138501</xdr:rowOff>
    </xdr:from>
    <xdr:to>
      <xdr:col>8</xdr:col>
      <xdr:colOff>166008</xdr:colOff>
      <xdr:row>81</xdr:row>
      <xdr:rowOff>24201</xdr:rowOff>
    </xdr:to>
    <xdr:graphicFrame macro="">
      <xdr:nvGraphicFramePr>
        <xdr:cNvPr id="44"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22</xdr:col>
      <xdr:colOff>561975</xdr:colOff>
      <xdr:row>5</xdr:row>
      <xdr:rowOff>76200</xdr:rowOff>
    </xdr:from>
    <xdr:ext cx="184731" cy="264560"/>
    <xdr:sp macro="" textlink="">
      <xdr:nvSpPr>
        <xdr:cNvPr id="5" name="TextBox 4"/>
        <xdr:cNvSpPr txBox="1"/>
      </xdr:nvSpPr>
      <xdr:spPr>
        <a:xfrm>
          <a:off x="13754100" y="110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11</xdr:col>
      <xdr:colOff>611840</xdr:colOff>
      <xdr:row>20</xdr:row>
      <xdr:rowOff>28575</xdr:rowOff>
    </xdr:from>
    <xdr:to>
      <xdr:col>23</xdr:col>
      <xdr:colOff>122945</xdr:colOff>
      <xdr:row>36</xdr:row>
      <xdr:rowOff>19051</xdr:rowOff>
    </xdr:to>
    <xdr:graphicFrame macro="">
      <xdr:nvGraphicFramePr>
        <xdr:cNvPr id="68" name="Chart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0</xdr:col>
      <xdr:colOff>149678</xdr:colOff>
      <xdr:row>20</xdr:row>
      <xdr:rowOff>38099</xdr:rowOff>
    </xdr:from>
    <xdr:to>
      <xdr:col>11</xdr:col>
      <xdr:colOff>579663</xdr:colOff>
      <xdr:row>36</xdr:row>
      <xdr:rowOff>19051</xdr:rowOff>
    </xdr:to>
    <xdr:graphicFrame macro="">
      <xdr:nvGraphicFramePr>
        <xdr:cNvPr id="69" name="Chart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12</xdr:col>
      <xdr:colOff>57150</xdr:colOff>
      <xdr:row>1</xdr:row>
      <xdr:rowOff>52595</xdr:rowOff>
    </xdr:from>
    <xdr:to>
      <xdr:col>17</xdr:col>
      <xdr:colOff>571501</xdr:colOff>
      <xdr:row>14</xdr:row>
      <xdr:rowOff>57150</xdr:rowOff>
    </xdr:to>
    <xdr:grpSp>
      <xdr:nvGrpSpPr>
        <xdr:cNvPr id="28" name="Group 27"/>
        <xdr:cNvGrpSpPr/>
      </xdr:nvGrpSpPr>
      <xdr:grpSpPr>
        <a:xfrm>
          <a:off x="7251326" y="243095"/>
          <a:ext cx="3539940" cy="2794820"/>
          <a:chOff x="7210425" y="176420"/>
          <a:chExt cx="3562351" cy="2785855"/>
        </a:xfrm>
      </xdr:grpSpPr>
      <xdr:sp macro="" textlink="">
        <xdr:nvSpPr>
          <xdr:cNvPr id="12" name="TextBox 11"/>
          <xdr:cNvSpPr txBox="1"/>
        </xdr:nvSpPr>
        <xdr:spPr>
          <a:xfrm>
            <a:off x="8982076" y="485774"/>
            <a:ext cx="1790700" cy="247650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 Display</a:t>
            </a:r>
            <a:r>
              <a:rPr lang="en-AU" sz="1100" b="1" baseline="0"/>
              <a:t>       VoP          TDS</a:t>
            </a:r>
          </a:p>
          <a:p>
            <a:r>
              <a:rPr lang="en-AU" sz="1100" b="1" baseline="0"/>
              <a:t>on Chart  Growth    Growth</a:t>
            </a:r>
            <a:endParaRPr lang="en-AU" sz="1100" b="1"/>
          </a:p>
        </xdr:txBody>
      </xdr:sp>
      <xdr:grpSp>
        <xdr:nvGrpSpPr>
          <xdr:cNvPr id="25" name="Group 24"/>
          <xdr:cNvGrpSpPr/>
        </xdr:nvGrpSpPr>
        <xdr:grpSpPr>
          <a:xfrm>
            <a:off x="7210425" y="176420"/>
            <a:ext cx="3560999" cy="2785855"/>
            <a:chOff x="7210425" y="176420"/>
            <a:chExt cx="3560999" cy="2785855"/>
          </a:xfrm>
        </xdr:grpSpPr>
        <xdr:sp macro="" textlink="">
          <xdr:nvSpPr>
            <xdr:cNvPr id="4" name="TextBox 3"/>
            <xdr:cNvSpPr txBox="1"/>
          </xdr:nvSpPr>
          <xdr:spPr>
            <a:xfrm>
              <a:off x="7210425" y="176420"/>
              <a:ext cx="3560999" cy="308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600" b="1">
                  <a:ln>
                    <a:noFill/>
                  </a:ln>
                </a:rPr>
                <a:t>Member Setup</a:t>
              </a:r>
            </a:p>
            <a:p>
              <a:pPr algn="l"/>
              <a:r>
                <a:rPr lang="en-AU" sz="1100" baseline="0">
                  <a:ln>
                    <a:noFill/>
                  </a:ln>
                </a:rPr>
                <a:t>	</a:t>
              </a:r>
              <a:endParaRPr lang="en-AU" sz="1100">
                <a:ln>
                  <a:noFill/>
                </a:ln>
              </a:endParaRPr>
            </a:p>
          </xdr:txBody>
        </xdr:sp>
        <mc:AlternateContent xmlns:mc="http://schemas.openxmlformats.org/markup-compatibility/2006">
          <mc:Choice xmlns:a14="http://schemas.microsoft.com/office/drawing/2010/main" Requires="a14">
            <xdr:sp macro="" textlink="">
              <xdr:nvSpPr>
                <xdr:cNvPr id="6157" name="TextBox1" hidden="1">
                  <a:extLst>
                    <a:ext uri="{63B3BB69-23CF-44E3-9099-C40C66FF867C}">
                      <a14:compatExt spid="_x0000_s6157"/>
                    </a:ext>
                  </a:extLst>
                </xdr:cNvPr>
                <xdr:cNvSpPr/>
              </xdr:nvSpPr>
              <xdr:spPr>
                <a:xfrm>
                  <a:off x="9667754" y="876052"/>
                  <a:ext cx="351238" cy="209777"/>
                </a:xfrm>
                <a:prstGeom prst="rect">
                  <a:avLst/>
                </a:prstGeom>
              </xdr:spPr>
            </xdr:sp>
          </mc:Choice>
          <mc:Fallback/>
        </mc:AlternateContent>
        <xdr:sp macro="" textlink="">
          <xdr:nvSpPr>
            <xdr:cNvPr id="10" name="TextBox 9"/>
            <xdr:cNvSpPr txBox="1"/>
          </xdr:nvSpPr>
          <xdr:spPr>
            <a:xfrm>
              <a:off x="7210425" y="485104"/>
              <a:ext cx="1771680" cy="247717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en-AU" sz="1100">
                <a:ln>
                  <a:noFill/>
                </a:ln>
                <a:effectLst/>
              </a:endParaRPr>
            </a:p>
            <a:p>
              <a:pPr algn="r"/>
              <a:endParaRPr lang="en-AU" sz="1100">
                <a:ln>
                  <a:noFill/>
                </a:ln>
                <a:effectLst/>
              </a:endParaRPr>
            </a:p>
            <a:p>
              <a:pPr algn="r"/>
              <a:r>
                <a:rPr lang="en-AU" sz="1200" b="1">
                  <a:ln>
                    <a:noFill/>
                  </a:ln>
                  <a:effectLst/>
                </a:rPr>
                <a:t>Default:</a:t>
              </a:r>
            </a:p>
            <a:p>
              <a:pPr algn="r"/>
              <a:r>
                <a:rPr lang="en-AU" sz="1200">
                  <a:ln>
                    <a:noFill/>
                  </a:ln>
                  <a:effectLst/>
                </a:rPr>
                <a:t>Australia:</a:t>
              </a:r>
            </a:p>
            <a:p>
              <a:pPr algn="r"/>
              <a:r>
                <a:rPr lang="en-AU" sz="1200">
                  <a:ln>
                    <a:noFill/>
                  </a:ln>
                  <a:effectLst/>
                </a:rPr>
                <a:t>Brazil:</a:t>
              </a:r>
            </a:p>
            <a:p>
              <a:pPr algn="r"/>
              <a:r>
                <a:rPr lang="en-AU" sz="1200">
                  <a:ln>
                    <a:noFill/>
                  </a:ln>
                  <a:effectLst/>
                </a:rPr>
                <a:t>Canada:</a:t>
              </a:r>
            </a:p>
            <a:p>
              <a:pPr algn="r"/>
              <a:r>
                <a:rPr lang="en-AU" sz="1200">
                  <a:ln>
                    <a:noFill/>
                  </a:ln>
                  <a:effectLst/>
                </a:rPr>
                <a:t>China:</a:t>
              </a:r>
            </a:p>
            <a:p>
              <a:pPr algn="r"/>
              <a:r>
                <a:rPr lang="en-AU" sz="1200">
                  <a:ln>
                    <a:noFill/>
                  </a:ln>
                  <a:effectLst/>
                </a:rPr>
                <a:t>European</a:t>
              </a:r>
              <a:r>
                <a:rPr lang="en-AU" sz="1200" baseline="0">
                  <a:ln>
                    <a:noFill/>
                  </a:ln>
                  <a:effectLst/>
                </a:rPr>
                <a:t> Union:</a:t>
              </a:r>
            </a:p>
            <a:p>
              <a:pPr algn="r"/>
              <a:r>
                <a:rPr lang="en-AU" sz="1200" baseline="0">
                  <a:ln>
                    <a:noFill/>
                  </a:ln>
                  <a:effectLst/>
                </a:rPr>
                <a:t>India:</a:t>
              </a:r>
            </a:p>
            <a:p>
              <a:pPr algn="r"/>
              <a:r>
                <a:rPr lang="en-AU" sz="1200" baseline="0">
                  <a:ln>
                    <a:noFill/>
                  </a:ln>
                  <a:effectLst/>
                </a:rPr>
                <a:t>Indonesia:</a:t>
              </a:r>
            </a:p>
            <a:p>
              <a:pPr algn="r"/>
              <a:r>
                <a:rPr lang="en-AU" sz="1200" baseline="0">
                  <a:ln>
                    <a:noFill/>
                  </a:ln>
                  <a:effectLst/>
                </a:rPr>
                <a:t>Japan:</a:t>
              </a:r>
            </a:p>
            <a:p>
              <a:pPr algn="r"/>
              <a:r>
                <a:rPr lang="en-AU" sz="1200" baseline="0">
                  <a:ln>
                    <a:noFill/>
                  </a:ln>
                  <a:effectLst/>
                </a:rPr>
                <a:t>United States of America: </a:t>
              </a:r>
            </a:p>
            <a:p>
              <a:pPr algn="r"/>
              <a:endParaRPr lang="en-AU" sz="1200">
                <a:ln>
                  <a:noFill/>
                </a:ln>
                <a:effectLst/>
              </a:endParaRPr>
            </a:p>
          </xdr:txBody>
        </xdr:sp>
        <mc:AlternateContent xmlns:mc="http://schemas.openxmlformats.org/markup-compatibility/2006">
          <mc:Choice xmlns:a14="http://schemas.microsoft.com/office/drawing/2010/main" Requires="a14">
            <xdr:sp macro="" textlink="">
              <xdr:nvSpPr>
                <xdr:cNvPr id="6161" name="TextBox2" hidden="1">
                  <a:extLst>
                    <a:ext uri="{63B3BB69-23CF-44E3-9099-C40C66FF867C}">
                      <a14:compatExt spid="_x0000_s6161"/>
                    </a:ext>
                  </a:extLst>
                </xdr:cNvPr>
                <xdr:cNvSpPr/>
              </xdr:nvSpPr>
              <xdr:spPr>
                <a:xfrm>
                  <a:off x="9667754" y="1057223"/>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62" name="TextBox3" hidden="1">
                  <a:extLst>
                    <a:ext uri="{63B3BB69-23CF-44E3-9099-C40C66FF867C}">
                      <a14:compatExt spid="_x0000_s6162"/>
                    </a:ext>
                  </a:extLst>
                </xdr:cNvPr>
                <xdr:cNvSpPr/>
              </xdr:nvSpPr>
              <xdr:spPr>
                <a:xfrm>
                  <a:off x="9667754" y="1238394"/>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63" name="TextBox4" hidden="1">
                  <a:extLst>
                    <a:ext uri="{63B3BB69-23CF-44E3-9099-C40C66FF867C}">
                      <a14:compatExt spid="_x0000_s6163"/>
                    </a:ext>
                  </a:extLst>
                </xdr:cNvPr>
                <xdr:cNvSpPr/>
              </xdr:nvSpPr>
              <xdr:spPr>
                <a:xfrm>
                  <a:off x="9667754" y="1419564"/>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64" name="TextBox5" hidden="1">
                  <a:extLst>
                    <a:ext uri="{63B3BB69-23CF-44E3-9099-C40C66FF867C}">
                      <a14:compatExt spid="_x0000_s6164"/>
                    </a:ext>
                  </a:extLst>
                </xdr:cNvPr>
                <xdr:cNvSpPr/>
              </xdr:nvSpPr>
              <xdr:spPr>
                <a:xfrm>
                  <a:off x="9667754" y="1619805"/>
                  <a:ext cx="351238" cy="208773"/>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65" name="TextBox6" hidden="1">
                  <a:extLst>
                    <a:ext uri="{63B3BB69-23CF-44E3-9099-C40C66FF867C}">
                      <a14:compatExt spid="_x0000_s6165"/>
                    </a:ext>
                  </a:extLst>
                </xdr:cNvPr>
                <xdr:cNvSpPr/>
              </xdr:nvSpPr>
              <xdr:spPr>
                <a:xfrm>
                  <a:off x="9667754" y="1799973"/>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66" name="TextBox7" hidden="1">
                  <a:extLst>
                    <a:ext uri="{63B3BB69-23CF-44E3-9099-C40C66FF867C}">
                      <a14:compatExt spid="_x0000_s6166"/>
                    </a:ext>
                  </a:extLst>
                </xdr:cNvPr>
                <xdr:cNvSpPr/>
              </xdr:nvSpPr>
              <xdr:spPr>
                <a:xfrm>
                  <a:off x="9667754" y="1981144"/>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67" name="TextBox8" hidden="1">
                  <a:extLst>
                    <a:ext uri="{63B3BB69-23CF-44E3-9099-C40C66FF867C}">
                      <a14:compatExt spid="_x0000_s6167"/>
                    </a:ext>
                  </a:extLst>
                </xdr:cNvPr>
                <xdr:cNvSpPr/>
              </xdr:nvSpPr>
              <xdr:spPr>
                <a:xfrm>
                  <a:off x="9667754" y="2162314"/>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68" name="TextBox9" hidden="1">
                  <a:extLst>
                    <a:ext uri="{63B3BB69-23CF-44E3-9099-C40C66FF867C}">
                      <a14:compatExt spid="_x0000_s6168"/>
                    </a:ext>
                  </a:extLst>
                </xdr:cNvPr>
                <xdr:cNvSpPr/>
              </xdr:nvSpPr>
              <xdr:spPr>
                <a:xfrm>
                  <a:off x="9667754" y="2343485"/>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69" name="TextBox10" hidden="1">
                  <a:extLst>
                    <a:ext uri="{63B3BB69-23CF-44E3-9099-C40C66FF867C}">
                      <a14:compatExt spid="_x0000_s6169"/>
                    </a:ext>
                  </a:extLst>
                </xdr:cNvPr>
                <xdr:cNvSpPr/>
              </xdr:nvSpPr>
              <xdr:spPr>
                <a:xfrm>
                  <a:off x="9667754" y="2524655"/>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45" name="Check Box 1" hidden="1">
                  <a:extLst>
                    <a:ext uri="{63B3BB69-23CF-44E3-9099-C40C66FF867C}">
                      <a14:compatExt spid="_x0000_s6145"/>
                    </a:ext>
                  </a:extLst>
                </xdr:cNvPr>
                <xdr:cNvSpPr/>
              </xdr:nvSpPr>
              <xdr:spPr>
                <a:xfrm>
                  <a:off x="9162471" y="1038152"/>
                  <a:ext cx="227830" cy="24146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47" name="Check Box 3" hidden="1">
                  <a:extLst>
                    <a:ext uri="{63B3BB69-23CF-44E3-9099-C40C66FF867C}">
                      <a14:compatExt spid="_x0000_s6147"/>
                    </a:ext>
                  </a:extLst>
                </xdr:cNvPr>
                <xdr:cNvSpPr/>
              </xdr:nvSpPr>
              <xdr:spPr>
                <a:xfrm>
                  <a:off x="9162470" y="1219323"/>
                  <a:ext cx="229624" cy="24146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48" name="Check Box 4" hidden="1">
                  <a:extLst>
                    <a:ext uri="{63B3BB69-23CF-44E3-9099-C40C66FF867C}">
                      <a14:compatExt spid="_x0000_s6148"/>
                    </a:ext>
                  </a:extLst>
                </xdr:cNvPr>
                <xdr:cNvSpPr/>
              </xdr:nvSpPr>
              <xdr:spPr>
                <a:xfrm>
                  <a:off x="9162470" y="1400494"/>
                  <a:ext cx="229624" cy="24146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49" name="Check Box 5" hidden="1">
                  <a:extLst>
                    <a:ext uri="{63B3BB69-23CF-44E3-9099-C40C66FF867C}">
                      <a14:compatExt spid="_x0000_s6149"/>
                    </a:ext>
                  </a:extLst>
                </xdr:cNvPr>
                <xdr:cNvSpPr/>
              </xdr:nvSpPr>
              <xdr:spPr>
                <a:xfrm>
                  <a:off x="9162470" y="1543523"/>
                  <a:ext cx="246816" cy="313662"/>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50" name="Check Box 6" hidden="1">
                  <a:extLst>
                    <a:ext uri="{63B3BB69-23CF-44E3-9099-C40C66FF867C}">
                      <a14:compatExt spid="_x0000_s6150"/>
                    </a:ext>
                  </a:extLst>
                </xdr:cNvPr>
                <xdr:cNvSpPr/>
              </xdr:nvSpPr>
              <xdr:spPr>
                <a:xfrm>
                  <a:off x="9162471" y="1761832"/>
                  <a:ext cx="229625" cy="24146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51" name="Check Box 7" hidden="1">
                  <a:extLst>
                    <a:ext uri="{63B3BB69-23CF-44E3-9099-C40C66FF867C}">
                      <a14:compatExt spid="_x0000_s6151"/>
                    </a:ext>
                  </a:extLst>
                </xdr:cNvPr>
                <xdr:cNvSpPr/>
              </xdr:nvSpPr>
              <xdr:spPr>
                <a:xfrm>
                  <a:off x="9162470" y="1943002"/>
                  <a:ext cx="229624" cy="24146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52" name="Check Box 8" hidden="1">
                  <a:extLst>
                    <a:ext uri="{63B3BB69-23CF-44E3-9099-C40C66FF867C}">
                      <a14:compatExt spid="_x0000_s6152"/>
                    </a:ext>
                  </a:extLst>
                </xdr:cNvPr>
                <xdr:cNvSpPr/>
              </xdr:nvSpPr>
              <xdr:spPr>
                <a:xfrm>
                  <a:off x="9162470" y="2133708"/>
                  <a:ext cx="229624" cy="24146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53" name="Check Box 9" hidden="1">
                  <a:extLst>
                    <a:ext uri="{63B3BB69-23CF-44E3-9099-C40C66FF867C}">
                      <a14:compatExt spid="_x0000_s6153"/>
                    </a:ext>
                  </a:extLst>
                </xdr:cNvPr>
                <xdr:cNvSpPr/>
              </xdr:nvSpPr>
              <xdr:spPr>
                <a:xfrm>
                  <a:off x="9162470" y="2324414"/>
                  <a:ext cx="229624" cy="241461"/>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54" name="Check Box 10" hidden="1">
                  <a:extLst>
                    <a:ext uri="{63B3BB69-23CF-44E3-9099-C40C66FF867C}">
                      <a14:compatExt spid="_x0000_s6154"/>
                    </a:ext>
                  </a:extLst>
                </xdr:cNvPr>
                <xdr:cNvSpPr/>
              </xdr:nvSpPr>
              <xdr:spPr>
                <a:xfrm>
                  <a:off x="9162470" y="2515120"/>
                  <a:ext cx="229624" cy="241461"/>
                </a:xfrm>
                <a:prstGeom prst="rect">
                  <a:avLst/>
                </a:prstGeom>
              </xdr:spPr>
            </xdr:sp>
          </mc:Choice>
          <mc:Fallback/>
        </mc:AlternateContent>
        <xdr:sp macro="" textlink="'Custom Member Setup'!B40">
          <xdr:nvSpPr>
            <xdr:cNvPr id="14" name="TextBox 13"/>
            <xdr:cNvSpPr txBox="1"/>
          </xdr:nvSpPr>
          <xdr:spPr>
            <a:xfrm>
              <a:off x="7314847" y="2696291"/>
              <a:ext cx="1667259" cy="237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fld id="{D276055F-5B94-45A8-904D-42A8A899D630}" type="TxLink">
                <a:rPr lang="en-US" sz="1100" b="0" i="0" u="none" strike="noStrike">
                  <a:solidFill>
                    <a:srgbClr val="000000"/>
                  </a:solidFill>
                  <a:latin typeface="Calibri"/>
                </a:rPr>
                <a:pPr algn="r"/>
                <a:t>Custom:</a:t>
              </a:fld>
              <a:endParaRPr lang="en-US" sz="1100" b="0" i="0" u="none" strike="noStrike">
                <a:solidFill>
                  <a:srgbClr val="000000"/>
                </a:solidFill>
                <a:latin typeface="Calibri"/>
              </a:endParaRPr>
            </a:p>
          </xdr:txBody>
        </xdr:sp>
        <mc:AlternateContent xmlns:mc="http://schemas.openxmlformats.org/markup-compatibility/2006">
          <mc:Choice xmlns:a14="http://schemas.microsoft.com/office/drawing/2010/main" Requires="a14">
            <xdr:sp macro="" textlink="">
              <xdr:nvSpPr>
                <xdr:cNvPr id="6155" name="Check Box 11" hidden="1">
                  <a:extLst>
                    <a:ext uri="{63B3BB69-23CF-44E3-9099-C40C66FF867C}">
                      <a14:compatExt spid="_x0000_s6155"/>
                    </a:ext>
                  </a:extLst>
                </xdr:cNvPr>
                <xdr:cNvSpPr/>
              </xdr:nvSpPr>
              <xdr:spPr>
                <a:xfrm>
                  <a:off x="9160677" y="2702748"/>
                  <a:ext cx="229624" cy="24045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72" name="TextBox11" hidden="1">
                  <a:extLst>
                    <a:ext uri="{63B3BB69-23CF-44E3-9099-C40C66FF867C}">
                      <a14:compatExt spid="_x0000_s6172"/>
                    </a:ext>
                  </a:extLst>
                </xdr:cNvPr>
                <xdr:cNvSpPr/>
              </xdr:nvSpPr>
              <xdr:spPr>
                <a:xfrm>
                  <a:off x="9667754" y="2715361"/>
                  <a:ext cx="351238" cy="208772"/>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73" name="TextBox12" hidden="1">
                  <a:extLst>
                    <a:ext uri="{63B3BB69-23CF-44E3-9099-C40C66FF867C}">
                      <a14:compatExt spid="_x0000_s6173"/>
                    </a:ext>
                  </a:extLst>
                </xdr:cNvPr>
                <xdr:cNvSpPr/>
              </xdr:nvSpPr>
              <xdr:spPr>
                <a:xfrm>
                  <a:off x="10239167" y="866517"/>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74" name="TextBox13" hidden="1">
                  <a:extLst>
                    <a:ext uri="{63B3BB69-23CF-44E3-9099-C40C66FF867C}">
                      <a14:compatExt spid="_x0000_s6174"/>
                    </a:ext>
                  </a:extLst>
                </xdr:cNvPr>
                <xdr:cNvSpPr/>
              </xdr:nvSpPr>
              <xdr:spPr>
                <a:xfrm>
                  <a:off x="10239167" y="1047688"/>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75" name="TextBox14" hidden="1">
                  <a:extLst>
                    <a:ext uri="{63B3BB69-23CF-44E3-9099-C40C66FF867C}">
                      <a14:compatExt spid="_x0000_s6175"/>
                    </a:ext>
                  </a:extLst>
                </xdr:cNvPr>
                <xdr:cNvSpPr/>
              </xdr:nvSpPr>
              <xdr:spPr>
                <a:xfrm>
                  <a:off x="10239167" y="1228858"/>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76" name="TextBox15" hidden="1">
                  <a:extLst>
                    <a:ext uri="{63B3BB69-23CF-44E3-9099-C40C66FF867C}">
                      <a14:compatExt spid="_x0000_s6176"/>
                    </a:ext>
                  </a:extLst>
                </xdr:cNvPr>
                <xdr:cNvSpPr/>
              </xdr:nvSpPr>
              <xdr:spPr>
                <a:xfrm>
                  <a:off x="10239167" y="1410029"/>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77" name="TextBox16" hidden="1">
                  <a:extLst>
                    <a:ext uri="{63B3BB69-23CF-44E3-9099-C40C66FF867C}">
                      <a14:compatExt spid="_x0000_s6177"/>
                    </a:ext>
                  </a:extLst>
                </xdr:cNvPr>
                <xdr:cNvSpPr/>
              </xdr:nvSpPr>
              <xdr:spPr>
                <a:xfrm>
                  <a:off x="10239167" y="1610270"/>
                  <a:ext cx="351238" cy="208773"/>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78" name="TextBox17" hidden="1">
                  <a:extLst>
                    <a:ext uri="{63B3BB69-23CF-44E3-9099-C40C66FF867C}">
                      <a14:compatExt spid="_x0000_s6178"/>
                    </a:ext>
                  </a:extLst>
                </xdr:cNvPr>
                <xdr:cNvSpPr/>
              </xdr:nvSpPr>
              <xdr:spPr>
                <a:xfrm>
                  <a:off x="10239167" y="1790438"/>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79" name="TextBox18" hidden="1">
                  <a:extLst>
                    <a:ext uri="{63B3BB69-23CF-44E3-9099-C40C66FF867C}">
                      <a14:compatExt spid="_x0000_s6179"/>
                    </a:ext>
                  </a:extLst>
                </xdr:cNvPr>
                <xdr:cNvSpPr/>
              </xdr:nvSpPr>
              <xdr:spPr>
                <a:xfrm>
                  <a:off x="10239167" y="1971608"/>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80" name="TextBox19" hidden="1">
                  <a:extLst>
                    <a:ext uri="{63B3BB69-23CF-44E3-9099-C40C66FF867C}">
                      <a14:compatExt spid="_x0000_s6180"/>
                    </a:ext>
                  </a:extLst>
                </xdr:cNvPr>
                <xdr:cNvSpPr/>
              </xdr:nvSpPr>
              <xdr:spPr>
                <a:xfrm>
                  <a:off x="10239167" y="2152779"/>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81" name="TextBox20" hidden="1">
                  <a:extLst>
                    <a:ext uri="{63B3BB69-23CF-44E3-9099-C40C66FF867C}">
                      <a14:compatExt spid="_x0000_s6181"/>
                    </a:ext>
                  </a:extLst>
                </xdr:cNvPr>
                <xdr:cNvSpPr/>
              </xdr:nvSpPr>
              <xdr:spPr>
                <a:xfrm>
                  <a:off x="10239167" y="2333950"/>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82" name="TextBox21" hidden="1">
                  <a:extLst>
                    <a:ext uri="{63B3BB69-23CF-44E3-9099-C40C66FF867C}">
                      <a14:compatExt spid="_x0000_s6182"/>
                    </a:ext>
                  </a:extLst>
                </xdr:cNvPr>
                <xdr:cNvSpPr/>
              </xdr:nvSpPr>
              <xdr:spPr>
                <a:xfrm>
                  <a:off x="10239167" y="2515120"/>
                  <a:ext cx="351238" cy="209777"/>
                </a:xfrm>
                <a:prstGeom prst="rect">
                  <a:avLst/>
                </a:prstGeom>
              </xdr:spPr>
            </xdr:sp>
          </mc:Choice>
          <mc:Fallback/>
        </mc:AlternateContent>
        <mc:AlternateContent xmlns:mc="http://schemas.openxmlformats.org/markup-compatibility/2006">
          <mc:Choice xmlns:a14="http://schemas.microsoft.com/office/drawing/2010/main" Requires="a14">
            <xdr:sp macro="" textlink="">
              <xdr:nvSpPr>
                <xdr:cNvPr id="6183" name="TextBox22" hidden="1">
                  <a:extLst>
                    <a:ext uri="{63B3BB69-23CF-44E3-9099-C40C66FF867C}">
                      <a14:compatExt spid="_x0000_s6183"/>
                    </a:ext>
                  </a:extLst>
                </xdr:cNvPr>
                <xdr:cNvSpPr/>
              </xdr:nvSpPr>
              <xdr:spPr>
                <a:xfrm>
                  <a:off x="10239167" y="2705826"/>
                  <a:ext cx="351238" cy="208772"/>
                </a:xfrm>
                <a:prstGeom prst="rect">
                  <a:avLst/>
                </a:prstGeom>
              </xdr:spPr>
            </xdr:sp>
          </mc:Choice>
          <mc:Fallback/>
        </mc:AlternateContent>
      </xdr:grpSp>
    </xdr:grpSp>
    <xdr:clientData/>
  </xdr:twoCellAnchor>
  <mc:AlternateContent xmlns:mc="http://schemas.openxmlformats.org/markup-compatibility/2006">
    <mc:Choice xmlns:a14="http://schemas.microsoft.com/office/drawing/2010/main" Requires="a14">
      <xdr:twoCellAnchor editAs="oneCell">
        <xdr:from>
          <xdr:col>1</xdr:col>
          <xdr:colOff>209550</xdr:colOff>
          <xdr:row>4</xdr:row>
          <xdr:rowOff>180975</xdr:rowOff>
        </xdr:from>
        <xdr:to>
          <xdr:col>1</xdr:col>
          <xdr:colOff>514350</xdr:colOff>
          <xdr:row>6</xdr:row>
          <xdr:rowOff>0</xdr:rowOff>
        </xdr:to>
        <xdr:sp macro="" textlink="">
          <xdr:nvSpPr>
            <xdr:cNvPr id="6185" name="Check Box 41" hidden="1">
              <a:extLst>
                <a:ext uri="{63B3BB69-23CF-44E3-9099-C40C66FF867C}">
                  <a14:compatExt spid="_x0000_s61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176213</xdr:colOff>
          <xdr:row>4</xdr:row>
          <xdr:rowOff>180975</xdr:rowOff>
        </xdr:from>
        <xdr:to>
          <xdr:col>2</xdr:col>
          <xdr:colOff>433388</xdr:colOff>
          <xdr:row>5</xdr:row>
          <xdr:rowOff>200025</xdr:rowOff>
        </xdr:to>
        <xdr:sp macro="" textlink="">
          <xdr:nvSpPr>
            <xdr:cNvPr id="6186" name="Check Box 42" hidden="1">
              <a:extLst>
                <a:ext uri="{63B3BB69-23CF-44E3-9099-C40C66FF867C}">
                  <a14:compatExt spid="_x0000_s61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xdr:row>
          <xdr:rowOff>180975</xdr:rowOff>
        </xdr:from>
        <xdr:to>
          <xdr:col>4</xdr:col>
          <xdr:colOff>476250</xdr:colOff>
          <xdr:row>5</xdr:row>
          <xdr:rowOff>200025</xdr:rowOff>
        </xdr:to>
        <xdr:sp macro="" textlink="">
          <xdr:nvSpPr>
            <xdr:cNvPr id="6187" name="Check Box 43" hidden="1">
              <a:extLst>
                <a:ext uri="{63B3BB69-23CF-44E3-9099-C40C66FF867C}">
                  <a14:compatExt spid="_x0000_s61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xdr:row>
          <xdr:rowOff>180975</xdr:rowOff>
        </xdr:from>
        <xdr:to>
          <xdr:col>5</xdr:col>
          <xdr:colOff>457200</xdr:colOff>
          <xdr:row>5</xdr:row>
          <xdr:rowOff>200025</xdr:rowOff>
        </xdr:to>
        <xdr:sp macro="" textlink="">
          <xdr:nvSpPr>
            <xdr:cNvPr id="6188" name="Check Box 44" hidden="1">
              <a:extLst>
                <a:ext uri="{63B3BB69-23CF-44E3-9099-C40C66FF867C}">
                  <a14:compatExt spid="_x0000_s61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4</xdr:row>
          <xdr:rowOff>180975</xdr:rowOff>
        </xdr:from>
        <xdr:to>
          <xdr:col>7</xdr:col>
          <xdr:colOff>466725</xdr:colOff>
          <xdr:row>5</xdr:row>
          <xdr:rowOff>200025</xdr:rowOff>
        </xdr:to>
        <xdr:sp macro="" textlink="">
          <xdr:nvSpPr>
            <xdr:cNvPr id="6189" name="Check Box 45" hidden="1">
              <a:extLst>
                <a:ext uri="{63B3BB69-23CF-44E3-9099-C40C66FF867C}">
                  <a14:compatExt spid="_x0000_s61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xdr:row>
          <xdr:rowOff>180975</xdr:rowOff>
        </xdr:from>
        <xdr:to>
          <xdr:col>8</xdr:col>
          <xdr:colOff>457200</xdr:colOff>
          <xdr:row>5</xdr:row>
          <xdr:rowOff>200025</xdr:rowOff>
        </xdr:to>
        <xdr:sp macro="" textlink="">
          <xdr:nvSpPr>
            <xdr:cNvPr id="6190" name="Check Box 46" hidden="1">
              <a:extLst>
                <a:ext uri="{63B3BB69-23CF-44E3-9099-C40C66FF867C}">
                  <a14:compatExt spid="_x0000_s61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11</xdr:row>
          <xdr:rowOff>180975</xdr:rowOff>
        </xdr:from>
        <xdr:to>
          <xdr:col>1</xdr:col>
          <xdr:colOff>495300</xdr:colOff>
          <xdr:row>12</xdr:row>
          <xdr:rowOff>209550</xdr:rowOff>
        </xdr:to>
        <xdr:sp macro="" textlink="">
          <xdr:nvSpPr>
            <xdr:cNvPr id="6191" name="Check Box 47" hidden="1">
              <a:extLst>
                <a:ext uri="{63B3BB69-23CF-44E3-9099-C40C66FF867C}">
                  <a14:compatExt spid="_x0000_s61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xdr:row>
          <xdr:rowOff>0</xdr:rowOff>
        </xdr:from>
        <xdr:to>
          <xdr:col>2</xdr:col>
          <xdr:colOff>438150</xdr:colOff>
          <xdr:row>12</xdr:row>
          <xdr:rowOff>209550</xdr:rowOff>
        </xdr:to>
        <xdr:sp macro="" textlink="">
          <xdr:nvSpPr>
            <xdr:cNvPr id="6192" name="Check Box 48" hidden="1">
              <a:extLst>
                <a:ext uri="{63B3BB69-23CF-44E3-9099-C40C66FF867C}">
                  <a14:compatExt spid="_x0000_s61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12</xdr:row>
          <xdr:rowOff>0</xdr:rowOff>
        </xdr:from>
        <xdr:to>
          <xdr:col>4</xdr:col>
          <xdr:colOff>457200</xdr:colOff>
          <xdr:row>12</xdr:row>
          <xdr:rowOff>209550</xdr:rowOff>
        </xdr:to>
        <xdr:sp macro="" textlink="">
          <xdr:nvSpPr>
            <xdr:cNvPr id="6193" name="Check Box 49" hidden="1">
              <a:extLst>
                <a:ext uri="{63B3BB69-23CF-44E3-9099-C40C66FF867C}">
                  <a14:compatExt spid="_x0000_s61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xdr:row>
          <xdr:rowOff>0</xdr:rowOff>
        </xdr:from>
        <xdr:to>
          <xdr:col>5</xdr:col>
          <xdr:colOff>438150</xdr:colOff>
          <xdr:row>12</xdr:row>
          <xdr:rowOff>209550</xdr:rowOff>
        </xdr:to>
        <xdr:sp macro="" textlink="">
          <xdr:nvSpPr>
            <xdr:cNvPr id="6194" name="Check Box 50" hidden="1">
              <a:extLst>
                <a:ext uri="{63B3BB69-23CF-44E3-9099-C40C66FF867C}">
                  <a14:compatExt spid="_x0000_s61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xdr:row>
          <xdr:rowOff>0</xdr:rowOff>
        </xdr:from>
        <xdr:to>
          <xdr:col>7</xdr:col>
          <xdr:colOff>447675</xdr:colOff>
          <xdr:row>12</xdr:row>
          <xdr:rowOff>209550</xdr:rowOff>
        </xdr:to>
        <xdr:sp macro="" textlink="">
          <xdr:nvSpPr>
            <xdr:cNvPr id="6195" name="Check Box 51" hidden="1">
              <a:extLst>
                <a:ext uri="{63B3BB69-23CF-44E3-9099-C40C66FF867C}">
                  <a14:compatExt spid="_x0000_s61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xdr:row>
          <xdr:rowOff>0</xdr:rowOff>
        </xdr:from>
        <xdr:to>
          <xdr:col>8</xdr:col>
          <xdr:colOff>438150</xdr:colOff>
          <xdr:row>12</xdr:row>
          <xdr:rowOff>209550</xdr:rowOff>
        </xdr:to>
        <xdr:sp macro="" textlink="">
          <xdr:nvSpPr>
            <xdr:cNvPr id="6196" name="Check Box 52" hidden="1">
              <a:extLst>
                <a:ext uri="{63B3BB69-23CF-44E3-9099-C40C66FF867C}">
                  <a14:compatExt spid="_x0000_s6196"/>
                </a:ext>
              </a:extLst>
            </xdr:cNvPr>
            <xdr:cNvSpPr/>
          </xdr:nvSpPr>
          <xdr:spPr>
            <a:xfrm>
              <a:off x="0" y="0"/>
              <a:ext cx="0" cy="0"/>
            </a:xfrm>
            <a:prstGeom prst="rect">
              <a:avLst/>
            </a:prstGeom>
          </xdr:spPr>
        </xdr:sp>
        <xdr:clientData fLocksWithSheet="0"/>
      </xdr:twoCellAnchor>
    </mc:Choice>
    <mc:Fallback/>
  </mc:AlternateContent>
  <xdr:twoCellAnchor editAs="oneCell">
    <xdr:from>
      <xdr:col>12</xdr:col>
      <xdr:colOff>180975</xdr:colOff>
      <xdr:row>15</xdr:row>
      <xdr:rowOff>1</xdr:rowOff>
    </xdr:from>
    <xdr:to>
      <xdr:col>15</xdr:col>
      <xdr:colOff>352625</xdr:colOff>
      <xdr:row>20</xdr:row>
      <xdr:rowOff>9525</xdr:rowOff>
    </xdr:to>
    <xdr:pic>
      <xdr:nvPicPr>
        <xdr:cNvPr id="65" name="Picture 64" descr="Image result for Department of Foreign Affairs and Trade">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7277100" y="3019426"/>
          <a:ext cx="2000450" cy="1038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266700</xdr:colOff>
          <xdr:row>4</xdr:row>
          <xdr:rowOff>180975</xdr:rowOff>
        </xdr:from>
        <xdr:to>
          <xdr:col>10</xdr:col>
          <xdr:colOff>523875</xdr:colOff>
          <xdr:row>5</xdr:row>
          <xdr:rowOff>200025</xdr:rowOff>
        </xdr:to>
        <xdr:sp macro="" textlink="">
          <xdr:nvSpPr>
            <xdr:cNvPr id="6197" name="Check Box 53" hidden="1">
              <a:extLst>
                <a:ext uri="{63B3BB69-23CF-44E3-9099-C40C66FF867C}">
                  <a14:compatExt spid="_x0000_s61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11</xdr:row>
          <xdr:rowOff>180975</xdr:rowOff>
        </xdr:from>
        <xdr:to>
          <xdr:col>10</xdr:col>
          <xdr:colOff>523875</xdr:colOff>
          <xdr:row>12</xdr:row>
          <xdr:rowOff>200025</xdr:rowOff>
        </xdr:to>
        <xdr:sp macro="" textlink="">
          <xdr:nvSpPr>
            <xdr:cNvPr id="6198" name="Check Box 54" hidden="1">
              <a:extLst>
                <a:ext uri="{63B3BB69-23CF-44E3-9099-C40C66FF867C}">
                  <a14:compatExt spid="_x0000_s61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4</xdr:row>
          <xdr:rowOff>171450</xdr:rowOff>
        </xdr:from>
        <xdr:to>
          <xdr:col>7</xdr:col>
          <xdr:colOff>0</xdr:colOff>
          <xdr:row>5</xdr:row>
          <xdr:rowOff>190500</xdr:rowOff>
        </xdr:to>
        <xdr:sp macro="" textlink="">
          <xdr:nvSpPr>
            <xdr:cNvPr id="6200" name="TextBox23" hidden="1">
              <a:extLst>
                <a:ext uri="{63B3BB69-23CF-44E3-9099-C40C66FF867C}">
                  <a14:compatExt spid="_x0000_s62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4</xdr:row>
          <xdr:rowOff>180975</xdr:rowOff>
        </xdr:from>
        <xdr:to>
          <xdr:col>4</xdr:col>
          <xdr:colOff>0</xdr:colOff>
          <xdr:row>5</xdr:row>
          <xdr:rowOff>200025</xdr:rowOff>
        </xdr:to>
        <xdr:sp macro="" textlink="">
          <xdr:nvSpPr>
            <xdr:cNvPr id="6201" name="TextBox24" hidden="1">
              <a:extLst>
                <a:ext uri="{63B3BB69-23CF-44E3-9099-C40C66FF867C}">
                  <a14:compatExt spid="_x0000_s6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0</xdr:colOff>
          <xdr:row>4</xdr:row>
          <xdr:rowOff>180975</xdr:rowOff>
        </xdr:from>
        <xdr:to>
          <xdr:col>10</xdr:col>
          <xdr:colOff>0</xdr:colOff>
          <xdr:row>5</xdr:row>
          <xdr:rowOff>200025</xdr:rowOff>
        </xdr:to>
        <xdr:sp macro="" textlink="">
          <xdr:nvSpPr>
            <xdr:cNvPr id="6202" name="TextBox25" hidden="1">
              <a:extLst>
                <a:ext uri="{63B3BB69-23CF-44E3-9099-C40C66FF867C}">
                  <a14:compatExt spid="_x0000_s62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0</xdr:colOff>
          <xdr:row>12</xdr:row>
          <xdr:rowOff>0</xdr:rowOff>
        </xdr:from>
        <xdr:to>
          <xdr:col>7</xdr:col>
          <xdr:colOff>0</xdr:colOff>
          <xdr:row>12</xdr:row>
          <xdr:rowOff>209550</xdr:rowOff>
        </xdr:to>
        <xdr:sp macro="" textlink="">
          <xdr:nvSpPr>
            <xdr:cNvPr id="6203" name="TextBox26" hidden="1">
              <a:extLst>
                <a:ext uri="{63B3BB69-23CF-44E3-9099-C40C66FF867C}">
                  <a14:compatExt spid="_x0000_s62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12</xdr:row>
          <xdr:rowOff>0</xdr:rowOff>
        </xdr:from>
        <xdr:to>
          <xdr:col>4</xdr:col>
          <xdr:colOff>0</xdr:colOff>
          <xdr:row>12</xdr:row>
          <xdr:rowOff>209550</xdr:rowOff>
        </xdr:to>
        <xdr:sp macro="" textlink="">
          <xdr:nvSpPr>
            <xdr:cNvPr id="6204" name="TextBox27" hidden="1">
              <a:extLst>
                <a:ext uri="{63B3BB69-23CF-44E3-9099-C40C66FF867C}">
                  <a14:compatExt spid="_x0000_s6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0</xdr:colOff>
          <xdr:row>11</xdr:row>
          <xdr:rowOff>180975</xdr:rowOff>
        </xdr:from>
        <xdr:to>
          <xdr:col>10</xdr:col>
          <xdr:colOff>0</xdr:colOff>
          <xdr:row>12</xdr:row>
          <xdr:rowOff>200025</xdr:rowOff>
        </xdr:to>
        <xdr:sp macro="" textlink="">
          <xdr:nvSpPr>
            <xdr:cNvPr id="6205" name="TextBox28" hidden="1">
              <a:extLst>
                <a:ext uri="{63B3BB69-23CF-44E3-9099-C40C66FF867C}">
                  <a14:compatExt spid="_x0000_s620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18</xdr:row>
          <xdr:rowOff>171450</xdr:rowOff>
        </xdr:from>
        <xdr:to>
          <xdr:col>10</xdr:col>
          <xdr:colOff>561975</xdr:colOff>
          <xdr:row>20</xdr:row>
          <xdr:rowOff>9525</xdr:rowOff>
        </xdr:to>
        <xdr:sp macro="" textlink="">
          <xdr:nvSpPr>
            <xdr:cNvPr id="6206" name="Check Box 62" hidden="1">
              <a:extLst>
                <a:ext uri="{63B3BB69-23CF-44E3-9099-C40C66FF867C}">
                  <a14:compatExt spid="_x0000_s620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18</xdr:row>
          <xdr:rowOff>171450</xdr:rowOff>
        </xdr:from>
        <xdr:to>
          <xdr:col>7</xdr:col>
          <xdr:colOff>495300</xdr:colOff>
          <xdr:row>20</xdr:row>
          <xdr:rowOff>9525</xdr:rowOff>
        </xdr:to>
        <xdr:sp macro="" textlink="">
          <xdr:nvSpPr>
            <xdr:cNvPr id="6207" name="Check Box 63" hidden="1">
              <a:extLst>
                <a:ext uri="{63B3BB69-23CF-44E3-9099-C40C66FF867C}">
                  <a14:compatExt spid="_x0000_s62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171450</xdr:rowOff>
        </xdr:from>
        <xdr:to>
          <xdr:col>3</xdr:col>
          <xdr:colOff>523875</xdr:colOff>
          <xdr:row>20</xdr:row>
          <xdr:rowOff>9525</xdr:rowOff>
        </xdr:to>
        <xdr:sp macro="" textlink="">
          <xdr:nvSpPr>
            <xdr:cNvPr id="6208" name="Check Box 64" hidden="1">
              <a:extLst>
                <a:ext uri="{63B3BB69-23CF-44E3-9099-C40C66FF867C}">
                  <a14:compatExt spid="_x0000_s62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xdr:row>
          <xdr:rowOff>180975</xdr:rowOff>
        </xdr:from>
        <xdr:to>
          <xdr:col>12</xdr:col>
          <xdr:colOff>0</xdr:colOff>
          <xdr:row>6</xdr:row>
          <xdr:rowOff>9525</xdr:rowOff>
        </xdr:to>
        <xdr:sp macro="" textlink="">
          <xdr:nvSpPr>
            <xdr:cNvPr id="6210" name="ComboBox1" hidden="1">
              <a:extLst>
                <a:ext uri="{63B3BB69-23CF-44E3-9099-C40C66FF867C}">
                  <a14:compatExt spid="_x0000_s621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180975</xdr:rowOff>
        </xdr:from>
        <xdr:to>
          <xdr:col>12</xdr:col>
          <xdr:colOff>0</xdr:colOff>
          <xdr:row>13</xdr:row>
          <xdr:rowOff>0</xdr:rowOff>
        </xdr:to>
        <xdr:sp macro="" textlink="">
          <xdr:nvSpPr>
            <xdr:cNvPr id="6211" name="ComboBox2" hidden="1">
              <a:extLst>
                <a:ext uri="{63B3BB69-23CF-44E3-9099-C40C66FF867C}">
                  <a14:compatExt spid="_x0000_s62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9525</xdr:colOff>
          <xdr:row>5</xdr:row>
          <xdr:rowOff>200025</xdr:rowOff>
        </xdr:from>
        <xdr:to>
          <xdr:col>12</xdr:col>
          <xdr:colOff>0</xdr:colOff>
          <xdr:row>7</xdr:row>
          <xdr:rowOff>19050</xdr:rowOff>
        </xdr:to>
        <xdr:sp macro="" textlink="">
          <xdr:nvSpPr>
            <xdr:cNvPr id="6288" name="TextBox29" hidden="1">
              <a:extLst>
                <a:ext uri="{63B3BB69-23CF-44E3-9099-C40C66FF867C}">
                  <a14:compatExt spid="_x0000_s62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9525</xdr:colOff>
          <xdr:row>13</xdr:row>
          <xdr:rowOff>0</xdr:rowOff>
        </xdr:from>
        <xdr:to>
          <xdr:col>11</xdr:col>
          <xdr:colOff>723900</xdr:colOff>
          <xdr:row>13</xdr:row>
          <xdr:rowOff>209550</xdr:rowOff>
        </xdr:to>
        <xdr:sp macro="" textlink="">
          <xdr:nvSpPr>
            <xdr:cNvPr id="6289" name="TextBox30" hidden="1">
              <a:extLst>
                <a:ext uri="{63B3BB69-23CF-44E3-9099-C40C66FF867C}">
                  <a14:compatExt spid="_x0000_s62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7</xdr:row>
          <xdr:rowOff>9525</xdr:rowOff>
        </xdr:from>
        <xdr:to>
          <xdr:col>11</xdr:col>
          <xdr:colOff>9525</xdr:colOff>
          <xdr:row>8</xdr:row>
          <xdr:rowOff>9525</xdr:rowOff>
        </xdr:to>
        <xdr:sp macro="" textlink="">
          <xdr:nvSpPr>
            <xdr:cNvPr id="6290" name="ComboBox3" hidden="1">
              <a:extLst>
                <a:ext uri="{63B3BB69-23CF-44E3-9099-C40C66FF867C}">
                  <a14:compatExt spid="_x0000_s629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xdr:row>
          <xdr:rowOff>9525</xdr:rowOff>
        </xdr:from>
        <xdr:to>
          <xdr:col>11</xdr:col>
          <xdr:colOff>9525</xdr:colOff>
          <xdr:row>15</xdr:row>
          <xdr:rowOff>0</xdr:rowOff>
        </xdr:to>
        <xdr:sp macro="" textlink="">
          <xdr:nvSpPr>
            <xdr:cNvPr id="6291" name="ComboBox4" hidden="1">
              <a:extLst>
                <a:ext uri="{63B3BB69-23CF-44E3-9099-C40C66FF867C}">
                  <a14:compatExt spid="_x0000_s62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7</xdr:row>
          <xdr:rowOff>9525</xdr:rowOff>
        </xdr:from>
        <xdr:to>
          <xdr:col>12</xdr:col>
          <xdr:colOff>0</xdr:colOff>
          <xdr:row>8</xdr:row>
          <xdr:rowOff>9525</xdr:rowOff>
        </xdr:to>
        <xdr:sp macro="" textlink="">
          <xdr:nvSpPr>
            <xdr:cNvPr id="6292" name="ComboBox5" hidden="1">
              <a:extLst>
                <a:ext uri="{63B3BB69-23CF-44E3-9099-C40C66FF867C}">
                  <a14:compatExt spid="_x0000_s62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11</xdr:col>
          <xdr:colOff>723900</xdr:colOff>
          <xdr:row>14</xdr:row>
          <xdr:rowOff>228600</xdr:rowOff>
        </xdr:to>
        <xdr:sp macro="" textlink="">
          <xdr:nvSpPr>
            <xdr:cNvPr id="6293" name="ComboBox6" hidden="1">
              <a:extLst>
                <a:ext uri="{63B3BB69-23CF-44E3-9099-C40C66FF867C}">
                  <a14:compatExt spid="_x0000_s62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6</xdr:col>
          <xdr:colOff>0</xdr:colOff>
          <xdr:row>8</xdr:row>
          <xdr:rowOff>9526</xdr:rowOff>
        </xdr:to>
        <xdr:sp macro="" textlink="">
          <xdr:nvSpPr>
            <xdr:cNvPr id="6296" name="ComboBox7" hidden="1">
              <a:extLst>
                <a:ext uri="{63B3BB69-23CF-44E3-9099-C40C66FF867C}">
                  <a14:compatExt spid="_x0000_s62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19050</xdr:colOff>
          <xdr:row>8</xdr:row>
          <xdr:rowOff>9525</xdr:rowOff>
        </xdr:to>
        <xdr:sp macro="" textlink="">
          <xdr:nvSpPr>
            <xdr:cNvPr id="6297" name="ComboBox8" hidden="1">
              <a:extLst>
                <a:ext uri="{63B3BB69-23CF-44E3-9099-C40C66FF867C}">
                  <a14:compatExt spid="_x0000_s62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9524</xdr:colOff>
          <xdr:row>6</xdr:row>
          <xdr:rowOff>209549</xdr:rowOff>
        </xdr:from>
        <xdr:to>
          <xdr:col>5</xdr:col>
          <xdr:colOff>0</xdr:colOff>
          <xdr:row>7</xdr:row>
          <xdr:rowOff>219075</xdr:rowOff>
        </xdr:to>
        <xdr:sp macro="" textlink="">
          <xdr:nvSpPr>
            <xdr:cNvPr id="6298" name="TextBox31" hidden="1">
              <a:extLst>
                <a:ext uri="{63B3BB69-23CF-44E3-9099-C40C66FF867C}">
                  <a14:compatExt spid="_x0000_s62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xdr:row>
          <xdr:rowOff>9525</xdr:rowOff>
        </xdr:from>
        <xdr:to>
          <xdr:col>2</xdr:col>
          <xdr:colOff>485775</xdr:colOff>
          <xdr:row>8</xdr:row>
          <xdr:rowOff>0</xdr:rowOff>
        </xdr:to>
        <xdr:sp macro="" textlink="">
          <xdr:nvSpPr>
            <xdr:cNvPr id="6299" name="Check Box 155" hidden="1">
              <a:extLst>
                <a:ext uri="{63B3BB69-23CF-44E3-9099-C40C66FF867C}">
                  <a14:compatExt spid="_x0000_s62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oneCellAnchor>
        <xdr:from>
          <xdr:col>2</xdr:col>
          <xdr:colOff>180975</xdr:colOff>
          <xdr:row>14</xdr:row>
          <xdr:rowOff>9525</xdr:rowOff>
        </xdr:from>
        <xdr:ext cx="304800" cy="219075"/>
        <xdr:sp macro="" textlink="">
          <xdr:nvSpPr>
            <xdr:cNvPr id="6300" name="Check Box 156" hidden="1">
              <a:extLst>
                <a:ext uri="{63B3BB69-23CF-44E3-9099-C40C66FF867C}">
                  <a14:compatExt spid="_x0000_s6300"/>
                </a:ext>
              </a:extLst>
            </xdr:cNvPr>
            <xdr:cNvSpPr/>
          </xdr:nvSpPr>
          <xdr:spPr>
            <a:xfrm>
              <a:off x="0" y="0"/>
              <a:ext cx="0" cy="0"/>
            </a:xfrm>
            <a:prstGeom prst="rect">
              <a:avLst/>
            </a:prstGeom>
          </xdr:spPr>
        </xdr:sp>
        <xdr:clientData fLocksWithSheet="0"/>
      </xdr:one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14</xdr:row>
          <xdr:rowOff>9525</xdr:rowOff>
        </xdr:from>
        <xdr:to>
          <xdr:col>5</xdr:col>
          <xdr:colOff>600075</xdr:colOff>
          <xdr:row>15</xdr:row>
          <xdr:rowOff>9525</xdr:rowOff>
        </xdr:to>
        <xdr:sp macro="" textlink="">
          <xdr:nvSpPr>
            <xdr:cNvPr id="6301" name="ComboBox9" hidden="1">
              <a:extLst>
                <a:ext uri="{63B3BB69-23CF-44E3-9099-C40C66FF867C}">
                  <a14:compatExt spid="_x0000_s63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14</xdr:row>
          <xdr:rowOff>9525</xdr:rowOff>
        </xdr:from>
        <xdr:to>
          <xdr:col>7</xdr:col>
          <xdr:colOff>9526</xdr:colOff>
          <xdr:row>15</xdr:row>
          <xdr:rowOff>9525</xdr:rowOff>
        </xdr:to>
        <xdr:sp macro="" textlink="">
          <xdr:nvSpPr>
            <xdr:cNvPr id="6302" name="ComboBox10" hidden="1">
              <a:extLst>
                <a:ext uri="{63B3BB69-23CF-44E3-9099-C40C66FF867C}">
                  <a14:compatExt spid="_x0000_s63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0</xdr:colOff>
          <xdr:row>14</xdr:row>
          <xdr:rowOff>19050</xdr:rowOff>
        </xdr:from>
        <xdr:to>
          <xdr:col>4</xdr:col>
          <xdr:colOff>657225</xdr:colOff>
          <xdr:row>15</xdr:row>
          <xdr:rowOff>0</xdr:rowOff>
        </xdr:to>
        <xdr:sp macro="" textlink="">
          <xdr:nvSpPr>
            <xdr:cNvPr id="6303" name="TextBox32" hidden="1">
              <a:extLst>
                <a:ext uri="{63B3BB69-23CF-44E3-9099-C40C66FF867C}">
                  <a14:compatExt spid="_x0000_s6303"/>
                </a:ext>
              </a:extLst>
            </xdr:cNvPr>
            <xdr:cNvSpPr/>
          </xdr:nvSpPr>
          <xdr:spPr>
            <a:xfrm>
              <a:off x="0" y="0"/>
              <a:ext cx="0" cy="0"/>
            </a:xfrm>
            <a:prstGeom prst="rect">
              <a:avLst/>
            </a:prstGeom>
          </xdr:spPr>
        </xdr:sp>
        <xdr:clientData fLocksWithSheet="0"/>
      </xdr:twoCellAnchor>
    </mc:Choice>
    <mc:Fallback/>
  </mc:AlternateContent>
  <xdr:twoCellAnchor editAs="absolute">
    <xdr:from>
      <xdr:col>15</xdr:col>
      <xdr:colOff>425824</xdr:colOff>
      <xdr:row>66</xdr:row>
      <xdr:rowOff>138501</xdr:rowOff>
    </xdr:from>
    <xdr:to>
      <xdr:col>23</xdr:col>
      <xdr:colOff>125186</xdr:colOff>
      <xdr:row>81</xdr:row>
      <xdr:rowOff>24201</xdr:rowOff>
    </xdr:to>
    <xdr:graphicFrame macro="">
      <xdr:nvGraphicFramePr>
        <xdr:cNvPr id="95" name="Chart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xdr:rowOff>
    </xdr:from>
    <xdr:to>
      <xdr:col>9</xdr:col>
      <xdr:colOff>295457</xdr:colOff>
      <xdr:row>23</xdr:row>
      <xdr:rowOff>38101</xdr:rowOff>
    </xdr:to>
    <xdr:sp macro="" textlink="">
      <xdr:nvSpPr>
        <xdr:cNvPr id="2" name="TextBox 1">
          <a:extLst>
            <a:ext uri="{FF2B5EF4-FFF2-40B4-BE49-F238E27FC236}">
              <a16:creationId xmlns="" xmlns:a16="http://schemas.microsoft.com/office/drawing/2014/main" id="{00000000-0008-0000-1200-000002000000}"/>
            </a:ext>
          </a:extLst>
        </xdr:cNvPr>
        <xdr:cNvSpPr txBox="1"/>
      </xdr:nvSpPr>
      <xdr:spPr>
        <a:xfrm>
          <a:off x="0" y="1"/>
          <a:ext cx="5781857" cy="44196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AU" sz="1300" b="1" baseline="0"/>
            <a:t>Notes:</a:t>
          </a:r>
          <a:r>
            <a:rPr lang="en-AU" sz="1300" baseline="0"/>
            <a:t/>
          </a:r>
          <a:br>
            <a:rPr lang="en-AU" sz="1300" baseline="0"/>
          </a:br>
          <a:r>
            <a:rPr lang="en-AU" sz="1300" baseline="0"/>
            <a:t>- VoP data is sourced from the FAO. </a:t>
          </a:r>
        </a:p>
        <a:p>
          <a:r>
            <a:rPr lang="en-AU" sz="1300" baseline="0"/>
            <a:t>- Blue Box and Article 6.2 spending are not included in the 'limits' because they are unlimited. </a:t>
          </a:r>
          <a:br>
            <a:rPr lang="en-AU" sz="1300" baseline="0"/>
          </a:br>
          <a:r>
            <a:rPr lang="en-AU" sz="1300" baseline="0"/>
            <a:t>- Because under the AoA Members are allowed to spend a fixed percentage on Product Specific and that same percentage again on Non-Product Specific, this calculation combines the two to find a Member's total committed spending limit. For example, China can spend 8.5% on NPS and 8.5% on PS, so this chart calculates their De Minimis limit at 17% of their VoP in a given year.</a:t>
          </a:r>
        </a:p>
        <a:p>
          <a:r>
            <a:rPr lang="en-AU" sz="1300"/>
            <a:t>- Data on TDS was taken from Member's Domestic Support notifications to the WTO's Committee on Agriculture. </a:t>
          </a:r>
        </a:p>
        <a:p>
          <a:r>
            <a:rPr lang="en-AU" sz="1300"/>
            <a:t>- Where notifications were in currencies other than USD, they were converted to USD using average real annual exchange rates. </a:t>
          </a:r>
          <a:br>
            <a:rPr lang="en-AU" sz="1300"/>
          </a:br>
          <a:endParaRPr lang="en-AU" sz="1300"/>
        </a:p>
        <a:p>
          <a:endParaRPr lang="en-AU" sz="1300"/>
        </a:p>
        <a:p>
          <a:r>
            <a:rPr lang="en-AU" sz="1300" b="1"/>
            <a:t>Created</a:t>
          </a:r>
          <a:r>
            <a:rPr lang="en-AU" sz="1300" b="1" baseline="0"/>
            <a:t> by:</a:t>
          </a:r>
        </a:p>
        <a:p>
          <a:r>
            <a:rPr lang="en-AU" sz="1300" baseline="0"/>
            <a:t>Dmitry Grozoubinski</a:t>
          </a:r>
        </a:p>
        <a:p>
          <a:r>
            <a:rPr lang="en-AU" sz="1300" baseline="0"/>
            <a:t>Second Secretary</a:t>
          </a:r>
        </a:p>
        <a:p>
          <a:r>
            <a:rPr lang="en-AU" sz="1300" baseline="0"/>
            <a:t>Australian Permanent Mission to the WTO</a:t>
          </a:r>
        </a:p>
        <a:p>
          <a:r>
            <a:rPr lang="en-AU" sz="1300" baseline="0"/>
            <a:t/>
          </a:r>
          <a:br>
            <a:rPr lang="en-AU" sz="1300" baseline="0"/>
          </a:br>
          <a:r>
            <a:rPr lang="en-AU" sz="1300" b="1" baseline="0"/>
            <a:t>E-Mail: </a:t>
          </a:r>
          <a:r>
            <a:rPr lang="en-AU" sz="1300" baseline="0"/>
            <a:t>dmitry.grozoubinski@dfat.gov.au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3" Type="http://schemas.openxmlformats.org/officeDocument/2006/relationships/control" Target="../activeX/activeX6.xml"/><Relationship Id="rId18" Type="http://schemas.openxmlformats.org/officeDocument/2006/relationships/image" Target="../media/image8.emf"/><Relationship Id="rId26" Type="http://schemas.openxmlformats.org/officeDocument/2006/relationships/image" Target="../media/image12.emf"/><Relationship Id="rId39" Type="http://schemas.openxmlformats.org/officeDocument/2006/relationships/image" Target="../media/image16.emf"/><Relationship Id="rId21" Type="http://schemas.openxmlformats.org/officeDocument/2006/relationships/control" Target="../activeX/activeX10.xml"/><Relationship Id="rId34" Type="http://schemas.openxmlformats.org/officeDocument/2006/relationships/control" Target="../activeX/activeX19.xml"/><Relationship Id="rId42" Type="http://schemas.openxmlformats.org/officeDocument/2006/relationships/control" Target="../activeX/activeX23.xml"/><Relationship Id="rId47" Type="http://schemas.openxmlformats.org/officeDocument/2006/relationships/control" Target="../activeX/activeX28.xml"/><Relationship Id="rId50" Type="http://schemas.openxmlformats.org/officeDocument/2006/relationships/image" Target="../media/image18.emf"/><Relationship Id="rId55" Type="http://schemas.openxmlformats.org/officeDocument/2006/relationships/control" Target="../activeX/activeX35.xml"/><Relationship Id="rId63" Type="http://schemas.openxmlformats.org/officeDocument/2006/relationships/control" Target="../activeX/activeX42.xml"/><Relationship Id="rId68" Type="http://schemas.openxmlformats.org/officeDocument/2006/relationships/ctrlProp" Target="../ctrlProps/ctrlProp4.xml"/><Relationship Id="rId76" Type="http://schemas.openxmlformats.org/officeDocument/2006/relationships/ctrlProp" Target="../ctrlProps/ctrlProp12.xml"/><Relationship Id="rId84" Type="http://schemas.openxmlformats.org/officeDocument/2006/relationships/ctrlProp" Target="../ctrlProps/ctrlProp20.xml"/><Relationship Id="rId89" Type="http://schemas.openxmlformats.org/officeDocument/2006/relationships/ctrlProp" Target="../ctrlProps/ctrlProp25.xml"/><Relationship Id="rId7" Type="http://schemas.openxmlformats.org/officeDocument/2006/relationships/image" Target="../media/image3.emf"/><Relationship Id="rId71" Type="http://schemas.openxmlformats.org/officeDocument/2006/relationships/ctrlProp" Target="../ctrlProps/ctrlProp7.xml"/><Relationship Id="rId92"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image" Target="../media/image7.emf"/><Relationship Id="rId29" Type="http://schemas.openxmlformats.org/officeDocument/2006/relationships/control" Target="../activeX/activeX14.xml"/><Relationship Id="rId11" Type="http://schemas.openxmlformats.org/officeDocument/2006/relationships/control" Target="../activeX/activeX5.xml"/><Relationship Id="rId24" Type="http://schemas.openxmlformats.org/officeDocument/2006/relationships/image" Target="../media/image11.emf"/><Relationship Id="rId32" Type="http://schemas.openxmlformats.org/officeDocument/2006/relationships/control" Target="../activeX/activeX17.xml"/><Relationship Id="rId37" Type="http://schemas.openxmlformats.org/officeDocument/2006/relationships/image" Target="../media/image15.emf"/><Relationship Id="rId40" Type="http://schemas.openxmlformats.org/officeDocument/2006/relationships/control" Target="../activeX/activeX22.xml"/><Relationship Id="rId45" Type="http://schemas.openxmlformats.org/officeDocument/2006/relationships/control" Target="../activeX/activeX26.xml"/><Relationship Id="rId53" Type="http://schemas.openxmlformats.org/officeDocument/2006/relationships/control" Target="../activeX/activeX33.xml"/><Relationship Id="rId58" Type="http://schemas.openxmlformats.org/officeDocument/2006/relationships/control" Target="../activeX/activeX38.xml"/><Relationship Id="rId66" Type="http://schemas.openxmlformats.org/officeDocument/2006/relationships/ctrlProp" Target="../ctrlProps/ctrlProp2.xml"/><Relationship Id="rId74" Type="http://schemas.openxmlformats.org/officeDocument/2006/relationships/ctrlProp" Target="../ctrlProps/ctrlProp10.xml"/><Relationship Id="rId79" Type="http://schemas.openxmlformats.org/officeDocument/2006/relationships/ctrlProp" Target="../ctrlProps/ctrlProp15.xml"/><Relationship Id="rId87" Type="http://schemas.openxmlformats.org/officeDocument/2006/relationships/ctrlProp" Target="../ctrlProps/ctrlProp23.xml"/><Relationship Id="rId5" Type="http://schemas.openxmlformats.org/officeDocument/2006/relationships/image" Target="../media/image2.emf"/><Relationship Id="rId61" Type="http://schemas.openxmlformats.org/officeDocument/2006/relationships/control" Target="../activeX/activeX41.xml"/><Relationship Id="rId82" Type="http://schemas.openxmlformats.org/officeDocument/2006/relationships/ctrlProp" Target="../ctrlProps/ctrlProp18.xml"/><Relationship Id="rId90" Type="http://schemas.openxmlformats.org/officeDocument/2006/relationships/ctrlProp" Target="../ctrlProps/ctrlProp26.xml"/><Relationship Id="rId19" Type="http://schemas.openxmlformats.org/officeDocument/2006/relationships/control" Target="../activeX/activeX9.xml"/><Relationship Id="rId14" Type="http://schemas.openxmlformats.org/officeDocument/2006/relationships/image" Target="../media/image6.emf"/><Relationship Id="rId22" Type="http://schemas.openxmlformats.org/officeDocument/2006/relationships/image" Target="../media/image10.emf"/><Relationship Id="rId27" Type="http://schemas.openxmlformats.org/officeDocument/2006/relationships/control" Target="../activeX/activeX13.xml"/><Relationship Id="rId30" Type="http://schemas.openxmlformats.org/officeDocument/2006/relationships/control" Target="../activeX/activeX15.xml"/><Relationship Id="rId35" Type="http://schemas.openxmlformats.org/officeDocument/2006/relationships/image" Target="../media/image14.emf"/><Relationship Id="rId43" Type="http://schemas.openxmlformats.org/officeDocument/2006/relationships/control" Target="../activeX/activeX24.xml"/><Relationship Id="rId48" Type="http://schemas.openxmlformats.org/officeDocument/2006/relationships/control" Target="../activeX/activeX29.xml"/><Relationship Id="rId56" Type="http://schemas.openxmlformats.org/officeDocument/2006/relationships/control" Target="../activeX/activeX36.xml"/><Relationship Id="rId64" Type="http://schemas.openxmlformats.org/officeDocument/2006/relationships/image" Target="../media/image20.emf"/><Relationship Id="rId69" Type="http://schemas.openxmlformats.org/officeDocument/2006/relationships/ctrlProp" Target="../ctrlProps/ctrlProp5.xml"/><Relationship Id="rId77" Type="http://schemas.openxmlformats.org/officeDocument/2006/relationships/ctrlProp" Target="../ctrlProps/ctrlProp13.xml"/><Relationship Id="rId8" Type="http://schemas.openxmlformats.org/officeDocument/2006/relationships/control" Target="../activeX/activeX3.xml"/><Relationship Id="rId51" Type="http://schemas.openxmlformats.org/officeDocument/2006/relationships/control" Target="../activeX/activeX31.xml"/><Relationship Id="rId72" Type="http://schemas.openxmlformats.org/officeDocument/2006/relationships/ctrlProp" Target="../ctrlProps/ctrlProp8.xml"/><Relationship Id="rId80" Type="http://schemas.openxmlformats.org/officeDocument/2006/relationships/ctrlProp" Target="../ctrlProps/ctrlProp16.xml"/><Relationship Id="rId85" Type="http://schemas.openxmlformats.org/officeDocument/2006/relationships/ctrlProp" Target="../ctrlProps/ctrlProp21.xml"/><Relationship Id="rId93" Type="http://schemas.openxmlformats.org/officeDocument/2006/relationships/ctrlProp" Target="../ctrlProps/ctrlProp29.xml"/><Relationship Id="rId3" Type="http://schemas.openxmlformats.org/officeDocument/2006/relationships/vmlDrawing" Target="../drawings/vmlDrawing3.vml"/><Relationship Id="rId12" Type="http://schemas.openxmlformats.org/officeDocument/2006/relationships/image" Target="../media/image5.emf"/><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ontrol" Target="../activeX/activeX18.xml"/><Relationship Id="rId38" Type="http://schemas.openxmlformats.org/officeDocument/2006/relationships/control" Target="../activeX/activeX21.xml"/><Relationship Id="rId46" Type="http://schemas.openxmlformats.org/officeDocument/2006/relationships/control" Target="../activeX/activeX27.xml"/><Relationship Id="rId59" Type="http://schemas.openxmlformats.org/officeDocument/2006/relationships/control" Target="../activeX/activeX39.xml"/><Relationship Id="rId67" Type="http://schemas.openxmlformats.org/officeDocument/2006/relationships/ctrlProp" Target="../ctrlProps/ctrlProp3.xml"/><Relationship Id="rId20" Type="http://schemas.openxmlformats.org/officeDocument/2006/relationships/image" Target="../media/image9.emf"/><Relationship Id="rId41" Type="http://schemas.openxmlformats.org/officeDocument/2006/relationships/image" Target="../media/image17.emf"/><Relationship Id="rId54" Type="http://schemas.openxmlformats.org/officeDocument/2006/relationships/control" Target="../activeX/activeX34.xml"/><Relationship Id="rId62" Type="http://schemas.openxmlformats.org/officeDocument/2006/relationships/image" Target="../media/image19.emf"/><Relationship Id="rId70" Type="http://schemas.openxmlformats.org/officeDocument/2006/relationships/ctrlProp" Target="../ctrlProps/ctrlProp6.xml"/><Relationship Id="rId75" Type="http://schemas.openxmlformats.org/officeDocument/2006/relationships/ctrlProp" Target="../ctrlProps/ctrlProp11.xml"/><Relationship Id="rId83" Type="http://schemas.openxmlformats.org/officeDocument/2006/relationships/ctrlProp" Target="../ctrlProps/ctrlProp19.xml"/><Relationship Id="rId88" Type="http://schemas.openxmlformats.org/officeDocument/2006/relationships/ctrlProp" Target="../ctrlProps/ctrlProp24.xml"/><Relationship Id="rId91" Type="http://schemas.openxmlformats.org/officeDocument/2006/relationships/ctrlProp" Target="../ctrlProps/ctrlProp27.xml"/><Relationship Id="rId1" Type="http://schemas.openxmlformats.org/officeDocument/2006/relationships/printerSettings" Target="../printerSettings/printerSettings9.bin"/><Relationship Id="rId6" Type="http://schemas.openxmlformats.org/officeDocument/2006/relationships/control" Target="../activeX/activeX2.xml"/><Relationship Id="rId15" Type="http://schemas.openxmlformats.org/officeDocument/2006/relationships/control" Target="../activeX/activeX7.xml"/><Relationship Id="rId23" Type="http://schemas.openxmlformats.org/officeDocument/2006/relationships/control" Target="../activeX/activeX11.xml"/><Relationship Id="rId28" Type="http://schemas.openxmlformats.org/officeDocument/2006/relationships/image" Target="../media/image13.emf"/><Relationship Id="rId36" Type="http://schemas.openxmlformats.org/officeDocument/2006/relationships/control" Target="../activeX/activeX20.xml"/><Relationship Id="rId49" Type="http://schemas.openxmlformats.org/officeDocument/2006/relationships/control" Target="../activeX/activeX30.xml"/><Relationship Id="rId57" Type="http://schemas.openxmlformats.org/officeDocument/2006/relationships/control" Target="../activeX/activeX37.xml"/><Relationship Id="rId10" Type="http://schemas.openxmlformats.org/officeDocument/2006/relationships/control" Target="../activeX/activeX4.xml"/><Relationship Id="rId31" Type="http://schemas.openxmlformats.org/officeDocument/2006/relationships/control" Target="../activeX/activeX16.xml"/><Relationship Id="rId44" Type="http://schemas.openxmlformats.org/officeDocument/2006/relationships/control" Target="../activeX/activeX25.xml"/><Relationship Id="rId52" Type="http://schemas.openxmlformats.org/officeDocument/2006/relationships/control" Target="../activeX/activeX32.xml"/><Relationship Id="rId60" Type="http://schemas.openxmlformats.org/officeDocument/2006/relationships/control" Target="../activeX/activeX40.xml"/><Relationship Id="rId65" Type="http://schemas.openxmlformats.org/officeDocument/2006/relationships/ctrlProp" Target="../ctrlProps/ctrlProp1.xml"/><Relationship Id="rId73" Type="http://schemas.openxmlformats.org/officeDocument/2006/relationships/ctrlProp" Target="../ctrlProps/ctrlProp9.xml"/><Relationship Id="rId78" Type="http://schemas.openxmlformats.org/officeDocument/2006/relationships/ctrlProp" Target="../ctrlProps/ctrlProp14.xml"/><Relationship Id="rId81" Type="http://schemas.openxmlformats.org/officeDocument/2006/relationships/ctrlProp" Target="../ctrlProps/ctrlProp17.xml"/><Relationship Id="rId86" Type="http://schemas.openxmlformats.org/officeDocument/2006/relationships/ctrlProp" Target="../ctrlProps/ctrlProp22.xml"/><Relationship Id="rId4" Type="http://schemas.openxmlformats.org/officeDocument/2006/relationships/control" Target="../activeX/activeX1.xml"/><Relationship Id="rId9" Type="http://schemas.openxmlformats.org/officeDocument/2006/relationships/image" Target="../media/image4.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D206"/>
  <sheetViews>
    <sheetView showGridLines="0" zoomScale="70" zoomScaleNormal="70" workbookViewId="0">
      <selection activeCell="E35" sqref="E35"/>
    </sheetView>
  </sheetViews>
  <sheetFormatPr defaultRowHeight="18.75" x14ac:dyDescent="0.3"/>
  <cols>
    <col min="1" max="1" width="1.85546875" style="58" customWidth="1"/>
    <col min="2" max="2" width="28.42578125" style="76" customWidth="1"/>
    <col min="3" max="3" width="11.140625" style="76" customWidth="1"/>
    <col min="4" max="4" width="10.7109375" style="76" customWidth="1"/>
    <col min="5" max="5" width="10.42578125" customWidth="1"/>
    <col min="6" max="6" width="23.5703125" customWidth="1"/>
    <col min="7" max="7" width="26.7109375" bestFit="1" customWidth="1"/>
    <col min="8" max="8" width="22.7109375" customWidth="1"/>
    <col min="9" max="9" width="24.28515625" bestFit="1" customWidth="1"/>
    <col min="10" max="10" width="22.7109375" bestFit="1" customWidth="1"/>
    <col min="11" max="11" width="25.7109375" customWidth="1"/>
    <col min="12" max="12" width="29.42578125" bestFit="1" customWidth="1"/>
    <col min="13" max="13" width="22" customWidth="1"/>
    <col min="14" max="14" width="9.28515625" customWidth="1"/>
    <col min="15" max="15" width="3.85546875" style="58" customWidth="1"/>
    <col min="18" max="18" width="9" customWidth="1"/>
    <col min="19" max="30" width="9.140625" style="58"/>
  </cols>
  <sheetData>
    <row r="1" spans="2:18" x14ac:dyDescent="0.3">
      <c r="B1" s="81"/>
      <c r="C1" s="81"/>
      <c r="D1" s="81"/>
      <c r="E1" s="58"/>
      <c r="F1" s="58"/>
      <c r="G1" s="58"/>
      <c r="H1" s="58"/>
      <c r="I1" s="58"/>
      <c r="J1" s="58"/>
      <c r="K1" s="58"/>
      <c r="L1" s="58"/>
      <c r="M1" s="58"/>
      <c r="N1" s="58"/>
      <c r="P1" s="58"/>
      <c r="Q1" s="58"/>
      <c r="R1" s="58"/>
    </row>
    <row r="2" spans="2:18" ht="45" x14ac:dyDescent="0.25">
      <c r="B2" s="201" t="s">
        <v>195</v>
      </c>
      <c r="C2" s="201"/>
      <c r="D2" s="201"/>
      <c r="E2" s="58"/>
      <c r="F2" s="57" t="str">
        <f>"Member (Snapshot for "&amp;D12&amp;")"</f>
        <v>Member (Snapshot for 2015)</v>
      </c>
      <c r="G2" s="56" t="str">
        <f>D12&amp;" "&amp;IF(D12&gt;2013,"VoP (Projected)","VoP")</f>
        <v>2015 VoP (Projected)</v>
      </c>
      <c r="H2" s="57" t="str">
        <f>D12&amp;" "&amp;IF(D12&gt;2010,"TDS Spending (Projected)","TDS Spending")</f>
        <v>2015 TDS Spending (Projected)</v>
      </c>
      <c r="I2" s="57" t="str">
        <f>D12&amp;" "&amp;IF(D12&gt;2013,"AMS + De Minimis Limit (Projeceted)","AMS + De Minimis Limit")</f>
        <v>2015 AMS + De Minimis Limit (Projeceted)</v>
      </c>
      <c r="J2" s="57" t="str">
        <f>IF(D12&gt;2013,100*D25&amp;"%/"&amp;100*D26&amp;"% of "&amp;D23&amp;IF(D23="Average"," "&amp;C24&amp;"-"&amp;D24,"")&amp;" VoP OTDS Limit (Projected)",100*D25&amp;"%/"&amp;100*D26&amp;"% of "&amp;D23&amp;IF(D23="Average"," "&amp;C24&amp;"-"&amp;D24&amp;" ","")&amp;" OTDS Limit")</f>
        <v>22%/20% of Average 2006-2016 VoP OTDS Limit (Projected)</v>
      </c>
      <c r="K2" s="57" t="s">
        <v>181</v>
      </c>
      <c r="L2" s="57" t="s">
        <v>410</v>
      </c>
      <c r="M2" s="57" t="str">
        <f>"Water Remaining: "&amp;100*D25&amp;"%/"&amp;100*D26&amp;"% OTDS"</f>
        <v>Water Remaining: 22%/20% OTDS</v>
      </c>
      <c r="N2" s="57" t="s">
        <v>177</v>
      </c>
      <c r="P2" s="58"/>
      <c r="Q2" s="58"/>
      <c r="R2" s="58"/>
    </row>
    <row r="3" spans="2:18" x14ac:dyDescent="0.3">
      <c r="B3" s="202" t="s">
        <v>8</v>
      </c>
      <c r="C3" s="202"/>
      <c r="D3" s="202"/>
      <c r="E3" s="58"/>
      <c r="F3" s="92" t="str">
        <f>IF(B3="","",B3)</f>
        <v>Japan</v>
      </c>
      <c r="G3" s="78">
        <f>IFERROR(IF($F3="","",VLOOKUP($F3,VoP,Machine!$D$12-2004,FALSE)),"")</f>
        <v>75480308487</v>
      </c>
      <c r="H3" s="79">
        <f>IFERROR(IF(F3="","",VLOOKUP(F3,'Machine Calculations'!$A$20:$Z$24,$D$12-2004,FALSE)),"")</f>
        <v>9588503192.1580715</v>
      </c>
      <c r="I3" s="79">
        <f>IFERROR(IF(F3="","",VLOOKUP(F3,'Machine Calculations'!A14:Z17,Machine!$D$12-2004,FALSE)),"")</f>
        <v>47845821960.653427</v>
      </c>
      <c r="J3" s="79">
        <f>IFERROR(IF(F3="","",VLOOKUP(F3,'Machine Calculations'!$A$8:$Z$12,$D$12-2011,FALSE)),"")</f>
        <v>14584545984.156548</v>
      </c>
      <c r="K3" s="79">
        <f>IFERROR(IF(F3="","",I3-J3),"")</f>
        <v>33261275976.49688</v>
      </c>
      <c r="L3" s="79">
        <f>IFERROR(IF(F3="","",I3-VLOOKUP(Machine!$F3,'TDS Calculations'!$A$14:$AA$24,Machine!$D$12-2003,FALSE)),"")</f>
        <v>38257318768.495354</v>
      </c>
      <c r="M3" s="79">
        <f>IFERROR(IF(F3="","",J3-H3),"")</f>
        <v>4996042791.998476</v>
      </c>
      <c r="N3" s="80">
        <f>IFERROR(IF(F3="","",1-(1/L3)*M3),"")</f>
        <v>0.8694094894043467</v>
      </c>
      <c r="P3" s="58"/>
      <c r="Q3" s="58"/>
      <c r="R3" s="58"/>
    </row>
    <row r="4" spans="2:18" x14ac:dyDescent="0.3">
      <c r="B4" s="202"/>
      <c r="C4" s="202"/>
      <c r="D4" s="202"/>
      <c r="E4" s="58"/>
      <c r="F4" s="92" t="str">
        <f>IF(B4="","",B4)</f>
        <v/>
      </c>
      <c r="G4" s="78" t="str">
        <f>IFERROR(IF($F4="","",VLOOKUP($F4,VoP,Machine!$D$12-2004,FALSE)),"")</f>
        <v/>
      </c>
      <c r="H4" s="79" t="str">
        <f>IFERROR(IF(F4="","",VLOOKUP(F4,'Machine Calculations'!$A$20:$Z$24,$D$12-2004,FALSE)),"")</f>
        <v/>
      </c>
      <c r="I4" s="79" t="str">
        <f>IFERROR(IF(F4="","",VLOOKUP(F4,'Machine Calculations'!A15:Z18,Machine!$D$12-2004,FALSE)),"")</f>
        <v/>
      </c>
      <c r="J4" s="79" t="str">
        <f>IFERROR(IF(F4="","",VLOOKUP(F4,'Machine Calculations'!$A$8:$Z$12,$D$12-2011,FALSE)),"")</f>
        <v/>
      </c>
      <c r="K4" s="79" t="str">
        <f t="shared" ref="K4:K6" si="0">IFERROR(IF(F4="","",I4-J4),"")</f>
        <v/>
      </c>
      <c r="L4" s="79" t="str">
        <f>IFERROR(IF(F4="","",I4-VLOOKUP(Machine!$F4,'TDS Calculations'!$A$14:$AA$24,Machine!$D$12-2003,FALSE)),"")</f>
        <v/>
      </c>
      <c r="M4" s="79" t="str">
        <f>IFERROR(IF(F4="","",J4-H4),"")</f>
        <v/>
      </c>
      <c r="N4" s="80" t="str">
        <f t="shared" ref="N4:N6" si="1">IFERROR(IF(F4="","",1-(1/L4)*M4),"")</f>
        <v/>
      </c>
      <c r="P4" s="58"/>
      <c r="Q4" s="58"/>
      <c r="R4" s="58"/>
    </row>
    <row r="5" spans="2:18" x14ac:dyDescent="0.3">
      <c r="B5" s="202"/>
      <c r="C5" s="202"/>
      <c r="D5" s="202"/>
      <c r="E5" s="58"/>
      <c r="F5" s="92" t="str">
        <f>IF(B5="","",B5)</f>
        <v/>
      </c>
      <c r="G5" s="78" t="str">
        <f>IFERROR(IF($F5="","",VLOOKUP($F5,VoP,Machine!$D$12-2004,FALSE)),"")</f>
        <v/>
      </c>
      <c r="H5" s="79" t="str">
        <f>IFERROR(IF(F5="","",VLOOKUP(F5,'Machine Calculations'!$A$20:$Z$24,$D$12-2004,FALSE)),"")</f>
        <v/>
      </c>
      <c r="I5" s="79" t="str">
        <f>IFERROR(IF(F5="","",VLOOKUP(F5,'Machine Calculations'!A16:Z19,Machine!$D$12-2004,FALSE)),"")</f>
        <v/>
      </c>
      <c r="J5" s="79" t="str">
        <f>IFERROR(IF(F5="","",VLOOKUP(F5,'Machine Calculations'!$A$8:$Z$12,$D$12-2011,FALSE)),"")</f>
        <v/>
      </c>
      <c r="K5" s="79" t="str">
        <f t="shared" si="0"/>
        <v/>
      </c>
      <c r="L5" s="79" t="str">
        <f>IFERROR(IF(F5="","",I5-VLOOKUP(Machine!$F5,'TDS Calculations'!$A$14:$AA$24,Machine!$D$12-2003,FALSE)),"")</f>
        <v/>
      </c>
      <c r="M5" s="79" t="str">
        <f t="shared" ref="M5:M6" si="2">IFERROR(IF(F5="","",J5-H5),"")</f>
        <v/>
      </c>
      <c r="N5" s="80" t="str">
        <f t="shared" si="1"/>
        <v/>
      </c>
      <c r="P5" s="58"/>
      <c r="Q5" s="58"/>
      <c r="R5" s="58"/>
    </row>
    <row r="6" spans="2:18" x14ac:dyDescent="0.3">
      <c r="B6" s="202"/>
      <c r="C6" s="202"/>
      <c r="D6" s="202"/>
      <c r="E6" s="58"/>
      <c r="F6" s="92" t="str">
        <f>IF(B6="","",B6)</f>
        <v/>
      </c>
      <c r="G6" s="78" t="str">
        <f>IFERROR(IF($F6="","",VLOOKUP($F6,VoP,Machine!$D$12-2004,FALSE)),"")</f>
        <v/>
      </c>
      <c r="H6" s="79" t="str">
        <f>IFERROR(IF(F6="","",VLOOKUP(F6,'Machine Calculations'!$A$20:$Z$24,$D$12-2004,FALSE)),"")</f>
        <v/>
      </c>
      <c r="I6" s="79" t="str">
        <f>IFERROR(IF(F6="","",VLOOKUP(F6,'Machine Calculations'!A17:Z20,Machine!$D$12-2004,FALSE)),"")</f>
        <v/>
      </c>
      <c r="J6" s="79" t="str">
        <f>IFERROR(IF(F6="","",VLOOKUP(F6,'Machine Calculations'!$A$8:$Z$12,$D$12-2011,FALSE)),"")</f>
        <v/>
      </c>
      <c r="K6" s="79" t="str">
        <f t="shared" si="0"/>
        <v/>
      </c>
      <c r="L6" s="79" t="str">
        <f>IFERROR(IF(F6="","",I6-VLOOKUP(Machine!$F6,'TDS Calculations'!$A$14:$AA$24,Machine!$D$12-2003,FALSE)),"")</f>
        <v/>
      </c>
      <c r="M6" s="79" t="str">
        <f t="shared" si="2"/>
        <v/>
      </c>
      <c r="N6" s="80" t="str">
        <f t="shared" si="1"/>
        <v/>
      </c>
      <c r="P6" s="58"/>
      <c r="Q6" s="58"/>
      <c r="R6" s="58"/>
    </row>
    <row r="7" spans="2:18" x14ac:dyDescent="0.3">
      <c r="B7" s="81"/>
      <c r="C7" s="81"/>
      <c r="D7" s="81"/>
      <c r="E7" s="59"/>
      <c r="F7" s="128" t="str">
        <f>IF(COUNTA(B3:D6)&gt;0,IF(F8="","Select a member in the white cell below to view their data in the graph:",IF(COUNTIF(B3:B6,F8)=0,"Error: Member below must be one of the up to four in 'Select Members' box.","")),"")</f>
        <v/>
      </c>
      <c r="G7" s="58"/>
      <c r="H7" s="58"/>
      <c r="I7" s="140"/>
      <c r="J7" s="58"/>
      <c r="K7" s="58"/>
      <c r="L7" s="58"/>
      <c r="M7" s="58"/>
      <c r="N7" s="58"/>
      <c r="P7" s="58"/>
      <c r="Q7" s="58"/>
      <c r="R7" s="58"/>
    </row>
    <row r="8" spans="2:18" ht="34.5" thickBot="1" x14ac:dyDescent="0.55000000000000004">
      <c r="B8" s="191" t="s">
        <v>192</v>
      </c>
      <c r="C8" s="191"/>
      <c r="D8" s="191"/>
      <c r="E8" s="139"/>
      <c r="F8" s="187" t="s">
        <v>8</v>
      </c>
      <c r="G8" s="187"/>
      <c r="H8" s="187"/>
      <c r="I8" s="187"/>
      <c r="J8" s="187"/>
      <c r="K8" s="187"/>
      <c r="L8" s="187"/>
      <c r="M8" s="58"/>
      <c r="N8" s="58"/>
      <c r="P8" s="58"/>
      <c r="Q8" s="58"/>
      <c r="R8" s="58"/>
    </row>
    <row r="9" spans="2:18" ht="15" x14ac:dyDescent="0.25">
      <c r="B9" s="191"/>
      <c r="C9" s="191"/>
      <c r="D9" s="191"/>
      <c r="E9" s="58"/>
      <c r="F9" s="58"/>
      <c r="G9" s="58"/>
      <c r="H9" s="58"/>
      <c r="I9" s="58"/>
      <c r="J9" s="58"/>
      <c r="K9" s="58"/>
      <c r="L9" s="58"/>
      <c r="M9" s="58"/>
      <c r="N9" s="58"/>
      <c r="P9" s="58"/>
      <c r="Q9" s="58"/>
      <c r="R9" s="58"/>
    </row>
    <row r="10" spans="2:18" x14ac:dyDescent="0.3">
      <c r="B10" s="189" t="s">
        <v>165</v>
      </c>
      <c r="C10" s="189"/>
      <c r="D10" s="82">
        <v>0.03</v>
      </c>
      <c r="E10" s="58"/>
      <c r="F10" s="195" t="s">
        <v>187</v>
      </c>
      <c r="G10" s="195"/>
      <c r="H10" s="83" t="s">
        <v>198</v>
      </c>
      <c r="I10" s="84"/>
      <c r="J10" s="83" t="s">
        <v>198</v>
      </c>
      <c r="K10" s="188" t="s">
        <v>199</v>
      </c>
      <c r="L10" s="188"/>
      <c r="M10" s="58"/>
      <c r="N10" s="58"/>
      <c r="P10" s="58"/>
      <c r="Q10" s="58"/>
      <c r="R10" s="58"/>
    </row>
    <row r="11" spans="2:18" x14ac:dyDescent="0.3">
      <c r="B11" s="189" t="s">
        <v>171</v>
      </c>
      <c r="C11" s="189"/>
      <c r="D11" s="90">
        <v>0.03</v>
      </c>
      <c r="E11" s="58"/>
      <c r="F11" s="196" t="str">
        <f>IF(COUNTIF(Developing,F8)=1,"OTDS Developing Limit of "&amp;100*Machine!D25&amp;"%","OTDS Developed Limit of "&amp;100*Machine!D26&amp;"%")</f>
        <v>OTDS Developed Limit of 20%</v>
      </c>
      <c r="G11" s="197"/>
      <c r="H11" s="83" t="s">
        <v>197</v>
      </c>
      <c r="I11" s="84"/>
      <c r="J11" s="83" t="s">
        <v>197</v>
      </c>
      <c r="K11" s="188" t="s">
        <v>200</v>
      </c>
      <c r="L11" s="188"/>
      <c r="M11" s="58"/>
      <c r="N11" s="58"/>
      <c r="P11" s="58"/>
      <c r="Q11" s="58"/>
      <c r="R11" s="58"/>
    </row>
    <row r="12" spans="2:18" x14ac:dyDescent="0.3">
      <c r="B12" s="189" t="s">
        <v>178</v>
      </c>
      <c r="C12" s="190"/>
      <c r="D12" s="91">
        <v>2015</v>
      </c>
      <c r="E12" s="58"/>
      <c r="F12" s="196" t="s">
        <v>223</v>
      </c>
      <c r="G12" s="197"/>
      <c r="H12" s="83" t="s">
        <v>198</v>
      </c>
      <c r="I12" s="58"/>
      <c r="J12" s="83" t="s">
        <v>198</v>
      </c>
      <c r="K12" s="126" t="s">
        <v>245</v>
      </c>
      <c r="L12" s="126" t="s">
        <v>409</v>
      </c>
      <c r="M12" s="188" t="s">
        <v>242</v>
      </c>
      <c r="N12" s="188"/>
      <c r="P12" s="58"/>
      <c r="Q12" s="58"/>
      <c r="R12" s="58"/>
    </row>
    <row r="13" spans="2:18" ht="23.25" x14ac:dyDescent="0.3">
      <c r="B13" s="81"/>
      <c r="C13" s="81"/>
      <c r="D13" s="89"/>
      <c r="E13" s="58"/>
      <c r="F13" s="58"/>
      <c r="G13" s="58"/>
      <c r="H13" s="58"/>
      <c r="I13" s="58"/>
      <c r="J13" s="58"/>
      <c r="K13" s="58"/>
      <c r="L13" s="58"/>
      <c r="M13" s="58"/>
      <c r="N13" s="58"/>
      <c r="P13" s="58"/>
      <c r="Q13" s="58"/>
      <c r="R13" s="58"/>
    </row>
    <row r="14" spans="2:18" ht="15" x14ac:dyDescent="0.25">
      <c r="B14" s="191" t="s">
        <v>194</v>
      </c>
      <c r="C14" s="192" t="s">
        <v>180</v>
      </c>
      <c r="D14" s="193" t="s">
        <v>182</v>
      </c>
      <c r="E14" s="58"/>
      <c r="F14" s="58"/>
      <c r="G14" s="58"/>
      <c r="H14" s="58"/>
      <c r="I14" s="58"/>
      <c r="J14" s="58"/>
      <c r="K14" s="58"/>
      <c r="L14" s="58"/>
      <c r="M14" s="58"/>
      <c r="N14" s="58"/>
      <c r="P14" s="58"/>
      <c r="Q14" s="58"/>
      <c r="R14" s="58"/>
    </row>
    <row r="15" spans="2:18" ht="15" x14ac:dyDescent="0.25">
      <c r="B15" s="191"/>
      <c r="C15" s="192"/>
      <c r="D15" s="194"/>
      <c r="E15" s="58"/>
      <c r="F15" s="58"/>
      <c r="G15" s="58"/>
      <c r="H15" s="58"/>
      <c r="I15" s="58"/>
      <c r="J15" s="58"/>
      <c r="K15" s="58"/>
      <c r="L15" s="58"/>
      <c r="M15" s="58"/>
      <c r="N15" s="58"/>
      <c r="P15" s="58"/>
      <c r="Q15" s="58"/>
      <c r="R15" s="58"/>
    </row>
    <row r="16" spans="2:18" x14ac:dyDescent="0.3">
      <c r="B16" s="77" t="str">
        <f>IF(B3="","",B3)</f>
        <v>Japan</v>
      </c>
      <c r="C16" s="75"/>
      <c r="D16" s="75"/>
      <c r="E16" s="58"/>
      <c r="F16" s="58"/>
      <c r="G16" s="58"/>
      <c r="H16" s="58"/>
      <c r="I16" s="58"/>
      <c r="J16" s="58"/>
      <c r="K16" s="58"/>
      <c r="L16" s="58"/>
      <c r="M16" s="58"/>
      <c r="N16" s="58"/>
      <c r="P16" s="58"/>
      <c r="Q16" s="58"/>
      <c r="R16" s="58"/>
    </row>
    <row r="17" spans="1:18" x14ac:dyDescent="0.3">
      <c r="B17" s="77" t="str">
        <f t="shared" ref="B17:B19" si="3">IF(B4="","",B4)</f>
        <v/>
      </c>
      <c r="C17" s="75"/>
      <c r="D17" s="75"/>
      <c r="E17" s="58"/>
      <c r="F17" s="58"/>
      <c r="G17" s="58"/>
      <c r="H17" s="58"/>
      <c r="I17" s="58"/>
      <c r="J17" s="58"/>
      <c r="K17" s="58"/>
      <c r="L17" s="58"/>
      <c r="M17" s="58"/>
      <c r="N17" s="58"/>
      <c r="P17" s="58"/>
      <c r="Q17" s="58"/>
      <c r="R17" s="58"/>
    </row>
    <row r="18" spans="1:18" x14ac:dyDescent="0.3">
      <c r="B18" s="77" t="str">
        <f t="shared" si="3"/>
        <v/>
      </c>
      <c r="C18" s="75"/>
      <c r="D18" s="75"/>
      <c r="E18" s="58"/>
      <c r="F18" s="58"/>
      <c r="G18" s="58"/>
      <c r="H18" s="58"/>
      <c r="I18" s="58"/>
      <c r="J18" s="58"/>
      <c r="K18" s="58"/>
      <c r="L18" s="58"/>
      <c r="M18" s="58"/>
      <c r="N18" s="58"/>
      <c r="P18" s="58"/>
      <c r="Q18" s="58"/>
      <c r="R18" s="58"/>
    </row>
    <row r="19" spans="1:18" x14ac:dyDescent="0.3">
      <c r="B19" s="77" t="str">
        <f t="shared" si="3"/>
        <v/>
      </c>
      <c r="C19" s="75"/>
      <c r="D19" s="75"/>
      <c r="E19" s="58"/>
      <c r="F19" s="58"/>
      <c r="G19" s="58"/>
      <c r="H19" s="58"/>
      <c r="I19" s="58"/>
      <c r="J19" s="58"/>
      <c r="K19" s="58"/>
      <c r="L19" s="58"/>
      <c r="M19" s="58"/>
      <c r="N19" s="58"/>
      <c r="P19" s="58"/>
      <c r="Q19" s="58"/>
      <c r="R19" s="58"/>
    </row>
    <row r="20" spans="1:18" x14ac:dyDescent="0.3">
      <c r="B20" s="81"/>
      <c r="C20" s="81"/>
      <c r="D20" s="81"/>
      <c r="E20" s="58"/>
      <c r="F20" s="58"/>
      <c r="G20" s="58"/>
      <c r="H20" s="58"/>
      <c r="I20" s="58"/>
      <c r="J20" s="58"/>
      <c r="K20" s="58"/>
      <c r="L20" s="58"/>
      <c r="M20" s="58"/>
      <c r="N20" s="58"/>
      <c r="P20" s="58"/>
      <c r="Q20" s="58"/>
      <c r="R20" s="58"/>
    </row>
    <row r="21" spans="1:18" ht="15" x14ac:dyDescent="0.25">
      <c r="A21" s="144"/>
      <c r="B21" s="191" t="s">
        <v>193</v>
      </c>
      <c r="C21" s="191"/>
      <c r="D21" s="191"/>
      <c r="E21" s="58"/>
      <c r="F21" s="58"/>
      <c r="G21" s="58"/>
      <c r="H21" s="58"/>
      <c r="I21" s="58"/>
      <c r="J21" s="58"/>
      <c r="K21" s="58"/>
      <c r="L21" s="58"/>
      <c r="M21" s="58"/>
      <c r="N21" s="58"/>
      <c r="P21" s="58"/>
      <c r="Q21" s="58"/>
      <c r="R21" s="58"/>
    </row>
    <row r="22" spans="1:18" ht="15" x14ac:dyDescent="0.25">
      <c r="A22" s="144"/>
      <c r="B22" s="191"/>
      <c r="C22" s="191"/>
      <c r="D22" s="191"/>
      <c r="E22" s="58"/>
      <c r="F22" s="58"/>
      <c r="G22" s="58"/>
      <c r="H22" s="58"/>
      <c r="I22" s="58"/>
      <c r="J22" s="58"/>
      <c r="K22" s="58"/>
      <c r="L22" s="58"/>
      <c r="M22" s="58"/>
      <c r="N22" s="58"/>
      <c r="P22" s="58"/>
      <c r="Q22" s="58"/>
      <c r="R22" s="58"/>
    </row>
    <row r="23" spans="1:18" x14ac:dyDescent="0.3">
      <c r="A23" s="146"/>
      <c r="B23" s="189" t="s">
        <v>167</v>
      </c>
      <c r="C23" s="189"/>
      <c r="D23" s="141" t="s">
        <v>159</v>
      </c>
      <c r="E23" s="58"/>
      <c r="F23" s="58"/>
      <c r="G23" s="58"/>
      <c r="H23" s="58"/>
      <c r="I23" s="58"/>
      <c r="J23" s="58"/>
      <c r="K23" s="58"/>
      <c r="L23" s="58"/>
      <c r="M23" s="58"/>
      <c r="N23" s="58"/>
      <c r="P23" s="58"/>
      <c r="Q23" s="58"/>
      <c r="R23" s="58"/>
    </row>
    <row r="24" spans="1:18" x14ac:dyDescent="0.3">
      <c r="A24" s="106"/>
      <c r="B24" s="145" t="s">
        <v>204</v>
      </c>
      <c r="C24" s="142">
        <v>2006</v>
      </c>
      <c r="D24" s="142">
        <v>2016</v>
      </c>
      <c r="E24" s="58"/>
      <c r="F24" s="58"/>
      <c r="G24" s="58"/>
      <c r="H24" s="58"/>
      <c r="I24" s="58"/>
      <c r="J24" s="58"/>
      <c r="K24" s="58"/>
      <c r="L24" s="58"/>
      <c r="M24" s="58"/>
      <c r="N24" s="58"/>
      <c r="P24" s="58"/>
      <c r="Q24" s="58"/>
      <c r="R24" s="58"/>
    </row>
    <row r="25" spans="1:18" x14ac:dyDescent="0.3">
      <c r="A25" s="147"/>
      <c r="B25" s="189" t="s">
        <v>185</v>
      </c>
      <c r="C25" s="189"/>
      <c r="D25" s="143">
        <v>0.22</v>
      </c>
      <c r="E25" s="58"/>
      <c r="F25" s="58"/>
      <c r="G25" s="58"/>
      <c r="H25" s="58"/>
      <c r="I25" s="58"/>
      <c r="J25" s="58"/>
      <c r="K25" s="58"/>
      <c r="L25" s="58"/>
      <c r="M25" s="58"/>
      <c r="N25" s="58"/>
      <c r="P25" s="58"/>
      <c r="Q25" s="58"/>
      <c r="R25" s="58"/>
    </row>
    <row r="26" spans="1:18" x14ac:dyDescent="0.3">
      <c r="A26" s="144"/>
      <c r="B26" s="189" t="s">
        <v>184</v>
      </c>
      <c r="C26" s="189"/>
      <c r="D26" s="143">
        <v>0.2</v>
      </c>
      <c r="E26" s="58"/>
      <c r="F26" s="58"/>
      <c r="G26" s="58"/>
      <c r="H26" s="58"/>
      <c r="I26" s="58"/>
      <c r="J26" s="58"/>
      <c r="K26" s="58"/>
      <c r="L26" s="58"/>
      <c r="M26" s="58"/>
      <c r="N26" s="58"/>
      <c r="P26" s="58"/>
      <c r="Q26" s="58"/>
      <c r="R26" s="58"/>
    </row>
    <row r="27" spans="1:18" x14ac:dyDescent="0.3">
      <c r="B27" s="81"/>
      <c r="C27" s="81"/>
      <c r="D27" s="81"/>
      <c r="E27" s="58"/>
      <c r="F27" s="58"/>
      <c r="G27" s="58"/>
      <c r="H27" s="58"/>
      <c r="I27" s="58"/>
      <c r="J27" s="58"/>
      <c r="K27" s="58"/>
      <c r="L27" s="58"/>
      <c r="M27" s="58"/>
      <c r="N27" s="58"/>
      <c r="P27" s="58"/>
      <c r="Q27" s="58"/>
      <c r="R27" s="58"/>
    </row>
    <row r="28" spans="1:18" x14ac:dyDescent="0.25">
      <c r="B28" s="201" t="str">
        <f>"Variables (AoA Modified for "&amp;F8&amp;")"</f>
        <v>Variables (AoA Modified for Japan)</v>
      </c>
      <c r="C28" s="201"/>
      <c r="D28" s="201"/>
      <c r="E28" s="58"/>
      <c r="F28" s="58"/>
      <c r="G28" s="58"/>
      <c r="H28" s="58"/>
      <c r="I28" s="58"/>
      <c r="J28" s="58"/>
      <c r="K28" s="58"/>
      <c r="L28" s="58"/>
      <c r="M28" s="58"/>
      <c r="N28" s="58"/>
      <c r="P28" s="58"/>
      <c r="Q28" s="58"/>
      <c r="R28" s="58"/>
    </row>
    <row r="29" spans="1:18" x14ac:dyDescent="0.25">
      <c r="B29" s="96" t="s">
        <v>206</v>
      </c>
      <c r="C29" s="97" t="s">
        <v>213</v>
      </c>
      <c r="D29" s="130"/>
      <c r="E29" s="58"/>
      <c r="F29" s="58"/>
      <c r="G29" s="58"/>
      <c r="H29" s="58"/>
      <c r="I29" s="58"/>
      <c r="J29" s="58"/>
      <c r="K29" s="58"/>
      <c r="L29" s="58"/>
      <c r="M29" s="58"/>
      <c r="N29" s="58"/>
      <c r="P29" s="58"/>
      <c r="Q29" s="58"/>
      <c r="R29" s="58"/>
    </row>
    <row r="30" spans="1:18" x14ac:dyDescent="0.25">
      <c r="B30" s="96" t="s">
        <v>207</v>
      </c>
      <c r="C30" s="97" t="s">
        <v>222</v>
      </c>
      <c r="D30" s="131"/>
      <c r="E30" s="58"/>
      <c r="F30" s="58"/>
      <c r="G30" s="58"/>
      <c r="H30" s="58"/>
      <c r="I30" s="58"/>
      <c r="J30" s="58"/>
      <c r="K30" s="58"/>
      <c r="L30" s="58"/>
      <c r="M30" s="58"/>
      <c r="N30" s="58"/>
      <c r="P30" s="58"/>
      <c r="Q30" s="58"/>
      <c r="R30" s="58"/>
    </row>
    <row r="31" spans="1:18" x14ac:dyDescent="0.25">
      <c r="B31" s="96" t="s">
        <v>208</v>
      </c>
      <c r="C31" s="97" t="s">
        <v>213</v>
      </c>
      <c r="D31" s="98"/>
      <c r="E31" s="58"/>
      <c r="F31" s="58"/>
      <c r="G31" s="58"/>
      <c r="H31" s="58"/>
      <c r="I31" s="58"/>
      <c r="J31" s="58"/>
      <c r="K31" s="58"/>
      <c r="L31" s="58"/>
      <c r="M31" s="58"/>
      <c r="N31" s="58"/>
      <c r="P31" s="58"/>
      <c r="Q31" s="58"/>
      <c r="R31" s="58"/>
    </row>
    <row r="32" spans="1:18" x14ac:dyDescent="0.3">
      <c r="B32" s="81"/>
      <c r="C32" s="81"/>
      <c r="D32" s="81"/>
      <c r="E32" s="58"/>
      <c r="F32" s="58"/>
      <c r="G32" s="58"/>
      <c r="H32" s="58"/>
      <c r="I32" s="58"/>
      <c r="J32" s="58"/>
      <c r="K32" s="58"/>
      <c r="L32" s="58"/>
      <c r="M32" s="58"/>
      <c r="N32" s="58"/>
      <c r="P32" s="58"/>
      <c r="Q32" s="58"/>
      <c r="R32" s="58"/>
    </row>
    <row r="33" spans="2:18" x14ac:dyDescent="0.3">
      <c r="B33" s="200" t="str">
        <f>IFERROR(IF(F8="","","AoA Limits for "&amp;F8&amp;": Total DM: "&amp;100*VLOOKUP('Machine Calculations'!A60,'Machine Calculations'!A38:E42,5,FALSE)&amp;"% | AMS: "&amp;DOLLAR(VLOOKUP('Machine Calculations'!A60,'Member Limits'!A1:B11,2,FALSE),0)),"")</f>
        <v>AoA Limits for Japan: Total DM: 10% | AMS: $40,297,791,112</v>
      </c>
      <c r="C33" s="200"/>
      <c r="D33" s="200"/>
      <c r="E33" s="200"/>
      <c r="F33" s="200"/>
      <c r="G33" s="200"/>
      <c r="H33" s="200"/>
      <c r="I33" s="200"/>
      <c r="J33" s="200"/>
      <c r="K33" s="200"/>
      <c r="L33" s="200"/>
      <c r="M33" s="200"/>
      <c r="N33" s="200"/>
      <c r="P33" s="58"/>
      <c r="Q33" s="58"/>
      <c r="R33" s="58"/>
    </row>
    <row r="34" spans="2:18" x14ac:dyDescent="0.3">
      <c r="B34" s="132" t="str">
        <f>IF(COUNTA(D29:D31)=0,"","Proposed Modifications to AoA: "&amp;IF(D29="","","Total DM "&amp;VLOOKUP(C29,'Machine Calculations'!A92:B95,2,FALSE)&amp;" "&amp;Machine!D29*200&amp;"%"&amp;IF(COUNTA(D30:D31)=0,""," | "))&amp;IF(D30="","","AMS "&amp;VLOOKUP(C30,'Machine Calculations'!A92:B95,2,FALSE)&amp;" "&amp;DOLLAR(Machine!D30*1000000,0)&amp;IF(D31="",""," | "))&amp;IF(D31="","","Overall "&amp;VLOOKUP(C31,'Machine Calculations'!A92:C95,2,FALSE)&amp;VLOOKUP(C31,'Machine Calculations'!A92:C95,3,FALSE)))</f>
        <v/>
      </c>
      <c r="C34" s="133"/>
      <c r="D34" s="133"/>
      <c r="E34" s="81"/>
      <c r="F34" s="81"/>
      <c r="G34" s="81"/>
      <c r="H34" s="81"/>
      <c r="I34" s="81"/>
      <c r="J34" s="81"/>
      <c r="K34" s="81"/>
      <c r="L34" s="81"/>
      <c r="M34" s="81"/>
      <c r="N34" s="81"/>
      <c r="P34" s="58"/>
      <c r="Q34" s="58"/>
      <c r="R34" s="58"/>
    </row>
    <row r="35" spans="2:18" x14ac:dyDescent="0.3">
      <c r="B35" s="129" t="str">
        <f>IFERROR(IF(COUNTA(D29:D31)=0,"","Modified AoA Limits for "&amp;F8&amp;": "&amp;IF(D29="","T","New t")&amp;"otal DM: "&amp;'Machine Calculations'!B64*100&amp;"% |"&amp;IF(D30=""," ","New ")&amp;"AMS: "&amp;DOLLAR('Machine Calculations'!C64,0)&amp;" "&amp;IF(D31="","",'Machine Calculations'!B73)),"")</f>
        <v/>
      </c>
      <c r="C35" s="81"/>
      <c r="D35" s="81"/>
      <c r="E35" s="81"/>
      <c r="F35" s="81"/>
      <c r="G35" s="81"/>
      <c r="H35" s="81"/>
      <c r="I35" s="81"/>
      <c r="J35" s="81"/>
      <c r="K35" s="81"/>
      <c r="L35" s="81"/>
      <c r="M35" s="81"/>
      <c r="N35" s="81"/>
      <c r="P35" s="58"/>
      <c r="Q35" s="58"/>
      <c r="R35" s="58"/>
    </row>
    <row r="36" spans="2:18" x14ac:dyDescent="0.3">
      <c r="B36" s="81"/>
      <c r="C36" s="81"/>
      <c r="D36" s="81"/>
      <c r="E36" s="58"/>
      <c r="F36" s="58"/>
      <c r="G36" s="58"/>
      <c r="H36" s="58"/>
      <c r="I36" s="58"/>
      <c r="J36" s="58"/>
      <c r="K36" s="58"/>
      <c r="L36" s="58"/>
      <c r="M36" s="58"/>
      <c r="N36" s="58"/>
      <c r="P36" s="58"/>
      <c r="Q36" s="58"/>
      <c r="R36" s="58"/>
    </row>
    <row r="37" spans="2:18" ht="33.75" x14ac:dyDescent="0.3">
      <c r="B37" s="81"/>
      <c r="C37" s="199" t="s">
        <v>414</v>
      </c>
      <c r="D37" s="199"/>
      <c r="E37" s="199"/>
      <c r="F37" s="199"/>
      <c r="G37" s="199"/>
      <c r="H37" s="199"/>
      <c r="I37" s="199"/>
      <c r="J37" s="199"/>
      <c r="K37" s="199"/>
      <c r="L37" s="199"/>
      <c r="M37" s="58"/>
      <c r="N37" s="58"/>
      <c r="P37" s="58"/>
      <c r="Q37" s="58"/>
      <c r="R37" s="58"/>
    </row>
    <row r="38" spans="2:18" x14ac:dyDescent="0.3">
      <c r="B38" s="81"/>
      <c r="C38" s="81"/>
      <c r="D38" s="81"/>
      <c r="E38" s="58"/>
      <c r="F38" s="58"/>
      <c r="G38" s="58"/>
      <c r="H38" s="58"/>
      <c r="I38" s="58"/>
      <c r="J38" s="58"/>
      <c r="K38" s="58"/>
      <c r="L38" s="58"/>
      <c r="M38" s="58"/>
      <c r="N38" s="58"/>
      <c r="P38" s="58"/>
      <c r="Q38" s="58"/>
      <c r="R38" s="58"/>
    </row>
    <row r="39" spans="2:18" x14ac:dyDescent="0.3">
      <c r="B39" s="81"/>
      <c r="C39" s="81"/>
      <c r="D39" s="81"/>
      <c r="E39" s="58"/>
      <c r="F39" s="58"/>
      <c r="G39" s="58"/>
      <c r="H39" s="58"/>
      <c r="I39" s="58"/>
      <c r="J39" s="58"/>
      <c r="K39" s="58"/>
      <c r="L39" s="58"/>
      <c r="M39" s="58"/>
      <c r="N39" s="58"/>
      <c r="P39" s="58"/>
      <c r="Q39" s="58"/>
      <c r="R39" s="58"/>
    </row>
    <row r="40" spans="2:18" x14ac:dyDescent="0.3">
      <c r="B40" s="81"/>
      <c r="C40" s="81"/>
      <c r="D40" s="81"/>
      <c r="E40" s="58"/>
      <c r="F40" s="58"/>
      <c r="G40" s="58"/>
      <c r="H40" s="58"/>
      <c r="I40" s="58"/>
      <c r="J40" s="58"/>
      <c r="K40" s="58"/>
      <c r="L40" s="58"/>
      <c r="M40" s="58"/>
      <c r="N40" s="58"/>
      <c r="P40" s="58"/>
      <c r="Q40" s="58"/>
      <c r="R40" s="58"/>
    </row>
    <row r="41" spans="2:18" x14ac:dyDescent="0.3">
      <c r="B41" s="81"/>
      <c r="C41" s="81"/>
      <c r="D41" s="81"/>
      <c r="E41" s="58"/>
      <c r="F41" s="58"/>
      <c r="G41" s="58"/>
      <c r="H41" s="58"/>
      <c r="I41" s="58"/>
      <c r="J41" s="58"/>
      <c r="K41" s="58"/>
      <c r="L41" s="58"/>
      <c r="M41" s="58"/>
      <c r="N41" s="58"/>
      <c r="P41" s="58"/>
      <c r="Q41" s="58"/>
      <c r="R41" s="58"/>
    </row>
    <row r="42" spans="2:18" x14ac:dyDescent="0.3">
      <c r="B42" s="81"/>
      <c r="C42" s="81"/>
      <c r="D42" s="81"/>
      <c r="E42" s="58"/>
      <c r="F42" s="58"/>
      <c r="G42" s="58"/>
      <c r="H42" s="58"/>
      <c r="I42" s="58"/>
      <c r="J42" s="58"/>
      <c r="K42" s="58"/>
      <c r="L42" s="58"/>
      <c r="M42" s="58"/>
      <c r="N42" s="58"/>
      <c r="P42" s="58"/>
      <c r="Q42" s="58"/>
      <c r="R42" s="58"/>
    </row>
    <row r="43" spans="2:18" x14ac:dyDescent="0.3">
      <c r="B43" s="81"/>
      <c r="C43" s="81"/>
      <c r="D43" s="81"/>
      <c r="E43" s="58"/>
      <c r="F43" s="58"/>
      <c r="G43" s="58"/>
      <c r="H43" s="58"/>
      <c r="I43" s="58"/>
      <c r="J43" s="58"/>
      <c r="K43" s="58"/>
      <c r="L43" s="58"/>
      <c r="M43" s="58"/>
      <c r="N43" s="58"/>
      <c r="P43" s="58"/>
      <c r="Q43" s="58"/>
      <c r="R43" s="58"/>
    </row>
    <row r="44" spans="2:18" x14ac:dyDescent="0.3">
      <c r="B44" s="81"/>
      <c r="C44" s="81"/>
      <c r="D44" s="81"/>
      <c r="E44" s="81"/>
      <c r="F44" s="58"/>
      <c r="G44" s="58"/>
      <c r="H44" s="58"/>
      <c r="I44" s="58"/>
      <c r="J44" s="58"/>
      <c r="K44" s="58"/>
      <c r="L44" s="58"/>
      <c r="M44" s="58"/>
      <c r="N44" s="58"/>
      <c r="P44" s="58"/>
      <c r="Q44" s="58"/>
      <c r="R44" s="58"/>
    </row>
    <row r="45" spans="2:18" x14ac:dyDescent="0.3">
      <c r="B45" s="81"/>
      <c r="C45" s="81"/>
      <c r="D45" s="81"/>
      <c r="E45" s="81"/>
      <c r="F45" s="58"/>
      <c r="G45" s="58"/>
      <c r="H45" s="58"/>
      <c r="I45" s="58"/>
      <c r="J45" s="58"/>
      <c r="K45" s="58"/>
      <c r="L45" s="58"/>
      <c r="M45" s="58"/>
      <c r="N45" s="58"/>
      <c r="P45" s="58"/>
      <c r="Q45" s="58"/>
      <c r="R45" s="58"/>
    </row>
    <row r="46" spans="2:18" x14ac:dyDescent="0.3">
      <c r="B46" s="81"/>
      <c r="C46" s="81"/>
      <c r="D46" s="81"/>
      <c r="E46" s="81"/>
      <c r="F46" s="58"/>
      <c r="G46" s="58"/>
      <c r="H46" s="58"/>
      <c r="I46" s="58"/>
      <c r="J46" s="58"/>
      <c r="K46" s="58"/>
      <c r="L46" s="58"/>
      <c r="M46" s="58"/>
      <c r="N46" s="58"/>
      <c r="P46" s="58"/>
      <c r="Q46" s="58"/>
      <c r="R46" s="58"/>
    </row>
    <row r="47" spans="2:18" x14ac:dyDescent="0.3">
      <c r="B47" s="81"/>
      <c r="C47" s="81"/>
      <c r="D47" s="81"/>
      <c r="E47" s="81"/>
      <c r="F47" s="58"/>
      <c r="G47" s="58"/>
      <c r="H47" s="58"/>
      <c r="I47" s="58"/>
      <c r="J47" s="58"/>
      <c r="K47" s="58"/>
      <c r="L47" s="58"/>
      <c r="M47" s="58"/>
      <c r="N47" s="58"/>
      <c r="P47" s="58"/>
      <c r="Q47" s="58"/>
      <c r="R47" s="58"/>
    </row>
    <row r="48" spans="2:18" x14ac:dyDescent="0.3">
      <c r="B48" s="81"/>
      <c r="C48" s="81"/>
      <c r="D48" s="81"/>
      <c r="E48" s="81"/>
      <c r="F48" s="58"/>
      <c r="G48" s="58"/>
      <c r="H48" s="58"/>
      <c r="I48" s="58"/>
      <c r="J48" s="58"/>
      <c r="K48" s="58"/>
      <c r="L48" s="58"/>
      <c r="M48" s="58"/>
      <c r="N48" s="58"/>
      <c r="P48" s="58"/>
      <c r="Q48" s="58"/>
      <c r="R48" s="58"/>
    </row>
    <row r="49" spans="2:18" x14ac:dyDescent="0.3">
      <c r="B49" s="81"/>
      <c r="C49" s="81"/>
      <c r="D49" s="81"/>
      <c r="E49" s="81"/>
      <c r="F49" s="58"/>
      <c r="G49" s="58"/>
      <c r="H49" s="58"/>
      <c r="I49" s="58"/>
      <c r="J49" s="58"/>
      <c r="K49" s="58"/>
      <c r="L49" s="58"/>
      <c r="M49" s="58"/>
      <c r="N49" s="58"/>
      <c r="P49" s="58"/>
      <c r="Q49" s="58"/>
      <c r="R49" s="58"/>
    </row>
    <row r="50" spans="2:18" x14ac:dyDescent="0.3">
      <c r="B50" s="81"/>
      <c r="C50" s="81"/>
      <c r="D50" s="81"/>
      <c r="E50" s="81"/>
      <c r="F50" s="58"/>
      <c r="G50" s="58"/>
      <c r="H50" s="58"/>
      <c r="I50" s="58"/>
      <c r="J50" s="58"/>
      <c r="K50" s="58"/>
      <c r="L50" s="58"/>
      <c r="M50" s="58"/>
      <c r="N50" s="58"/>
      <c r="P50" s="58"/>
      <c r="Q50" s="58"/>
      <c r="R50" s="58"/>
    </row>
    <row r="51" spans="2:18" x14ac:dyDescent="0.3">
      <c r="B51" s="81"/>
      <c r="C51" s="81"/>
      <c r="D51" s="81"/>
      <c r="E51" s="81"/>
      <c r="F51" s="58"/>
      <c r="G51" s="58"/>
      <c r="H51" s="58"/>
      <c r="I51" s="58"/>
      <c r="J51" s="58"/>
      <c r="K51" s="58"/>
      <c r="L51" s="58"/>
      <c r="M51" s="58"/>
      <c r="N51" s="58"/>
      <c r="P51" s="58"/>
      <c r="Q51" s="58"/>
      <c r="R51" s="58"/>
    </row>
    <row r="52" spans="2:18" x14ac:dyDescent="0.3">
      <c r="B52" s="81"/>
      <c r="C52" s="81"/>
      <c r="D52" s="81"/>
      <c r="E52" s="58"/>
      <c r="F52" s="58"/>
      <c r="G52" s="58"/>
      <c r="H52" s="58"/>
      <c r="I52" s="58"/>
      <c r="J52" s="58"/>
      <c r="K52" s="58"/>
      <c r="L52" s="58"/>
      <c r="M52" s="58"/>
      <c r="N52" s="58"/>
      <c r="P52" s="58"/>
      <c r="Q52" s="58"/>
      <c r="R52" s="58"/>
    </row>
    <row r="53" spans="2:18" x14ac:dyDescent="0.3">
      <c r="B53" s="81"/>
      <c r="C53" s="81"/>
      <c r="D53" s="81"/>
      <c r="E53" s="58"/>
      <c r="F53" s="58"/>
      <c r="G53" s="58"/>
      <c r="H53" s="58"/>
      <c r="I53" s="58"/>
      <c r="J53" s="58"/>
      <c r="K53" s="58"/>
      <c r="L53" s="58"/>
      <c r="M53" s="58"/>
      <c r="N53" s="58"/>
      <c r="P53" s="58"/>
      <c r="Q53" s="58"/>
      <c r="R53" s="58"/>
    </row>
    <row r="54" spans="2:18" x14ac:dyDescent="0.3">
      <c r="B54" s="81"/>
      <c r="C54" s="81"/>
      <c r="D54" s="81"/>
      <c r="E54" s="58"/>
      <c r="F54" s="58"/>
      <c r="G54" s="58"/>
      <c r="H54" s="58"/>
      <c r="I54" s="58"/>
      <c r="J54" s="58"/>
      <c r="K54" s="58"/>
      <c r="L54" s="58"/>
      <c r="M54" s="58"/>
      <c r="N54" s="58"/>
      <c r="P54" s="58"/>
      <c r="Q54" s="58"/>
      <c r="R54" s="58"/>
    </row>
    <row r="55" spans="2:18" x14ac:dyDescent="0.3">
      <c r="B55" s="81"/>
      <c r="C55" s="81"/>
      <c r="D55" s="81"/>
      <c r="E55" s="58"/>
      <c r="F55" s="58"/>
      <c r="G55" s="58"/>
      <c r="H55" s="58"/>
      <c r="I55" s="58"/>
      <c r="J55" s="58"/>
      <c r="K55" s="58"/>
      <c r="L55" s="58"/>
      <c r="M55" s="58"/>
      <c r="N55" s="58"/>
      <c r="P55" s="58"/>
      <c r="Q55" s="58"/>
      <c r="R55" s="58"/>
    </row>
    <row r="56" spans="2:18" x14ac:dyDescent="0.3">
      <c r="B56" s="81"/>
      <c r="C56" s="81"/>
      <c r="D56" s="81"/>
      <c r="E56" s="58"/>
      <c r="F56" s="58"/>
      <c r="G56" s="58"/>
      <c r="H56" s="58"/>
      <c r="I56" s="58"/>
      <c r="J56" s="58"/>
      <c r="K56" s="58"/>
      <c r="L56" s="58"/>
      <c r="M56" s="58"/>
      <c r="N56" s="58"/>
      <c r="P56" s="58"/>
      <c r="Q56" s="58"/>
      <c r="R56" s="58"/>
    </row>
    <row r="57" spans="2:18" x14ac:dyDescent="0.3">
      <c r="B57" s="81"/>
      <c r="C57" s="81"/>
      <c r="D57" s="81"/>
      <c r="E57" s="58"/>
      <c r="F57" s="58"/>
      <c r="G57" s="58"/>
      <c r="H57" s="58"/>
      <c r="I57" s="58"/>
      <c r="J57" s="58"/>
      <c r="K57" s="58"/>
      <c r="L57" s="58"/>
      <c r="M57" s="58"/>
      <c r="N57" s="58"/>
      <c r="P57" s="58"/>
      <c r="Q57" s="58"/>
      <c r="R57" s="58"/>
    </row>
    <row r="58" spans="2:18" x14ac:dyDescent="0.3">
      <c r="B58" s="81"/>
      <c r="C58" s="81"/>
      <c r="D58" s="81"/>
      <c r="E58" s="58"/>
      <c r="F58" s="58"/>
      <c r="G58" s="58"/>
      <c r="H58" s="58"/>
      <c r="I58" s="58"/>
      <c r="J58" s="58"/>
      <c r="K58" s="58"/>
      <c r="L58" s="58"/>
      <c r="M58" s="58"/>
      <c r="N58" s="58"/>
      <c r="P58" s="58"/>
      <c r="Q58" s="58"/>
      <c r="R58" s="58"/>
    </row>
    <row r="59" spans="2:18" x14ac:dyDescent="0.3">
      <c r="B59" s="81"/>
      <c r="C59" s="81"/>
      <c r="D59" s="81"/>
      <c r="E59" s="58"/>
      <c r="F59" s="58"/>
      <c r="G59" s="58"/>
      <c r="H59" s="58"/>
      <c r="I59" s="58"/>
      <c r="J59" s="58"/>
      <c r="K59" s="58"/>
      <c r="L59" s="58"/>
      <c r="M59" s="58"/>
      <c r="N59" s="58"/>
      <c r="P59" s="58"/>
      <c r="Q59" s="58"/>
      <c r="R59" s="58"/>
    </row>
    <row r="60" spans="2:18" x14ac:dyDescent="0.3">
      <c r="B60" s="81"/>
      <c r="C60" s="81"/>
      <c r="D60" s="81"/>
      <c r="E60" s="58"/>
      <c r="F60" s="58"/>
      <c r="G60" s="58"/>
      <c r="H60" s="58"/>
      <c r="I60" s="58"/>
      <c r="J60" s="58"/>
      <c r="K60" s="58"/>
      <c r="L60" s="58"/>
      <c r="M60" s="58"/>
      <c r="N60" s="58"/>
      <c r="P60" s="58"/>
      <c r="Q60" s="58"/>
      <c r="R60" s="58"/>
    </row>
    <row r="61" spans="2:18" x14ac:dyDescent="0.3">
      <c r="B61" s="81"/>
      <c r="C61" s="81"/>
      <c r="D61" s="81"/>
      <c r="E61" s="58"/>
      <c r="F61" s="58"/>
      <c r="G61" s="58"/>
      <c r="H61" s="58"/>
      <c r="I61" s="58"/>
      <c r="J61" s="58"/>
      <c r="K61" s="58"/>
      <c r="L61" s="58"/>
      <c r="M61" s="58"/>
      <c r="N61" s="58"/>
      <c r="P61" s="58"/>
      <c r="Q61" s="58"/>
      <c r="R61" s="58"/>
    </row>
    <row r="62" spans="2:18" x14ac:dyDescent="0.3">
      <c r="B62" s="81"/>
      <c r="C62" s="81"/>
      <c r="D62" s="81"/>
      <c r="E62" s="58"/>
      <c r="F62" s="58"/>
      <c r="G62" s="58"/>
      <c r="H62" s="58"/>
      <c r="I62" s="58"/>
      <c r="J62" s="58"/>
      <c r="K62" s="58"/>
      <c r="L62" s="58"/>
      <c r="M62" s="58"/>
      <c r="N62" s="58"/>
      <c r="P62" s="58"/>
      <c r="Q62" s="58"/>
      <c r="R62" s="58"/>
    </row>
    <row r="63" spans="2:18" x14ac:dyDescent="0.3">
      <c r="B63" s="81"/>
      <c r="C63" s="81"/>
      <c r="D63" s="81"/>
      <c r="E63" s="58"/>
      <c r="F63" s="58"/>
      <c r="G63" s="58"/>
      <c r="H63" s="58"/>
      <c r="I63" s="58"/>
      <c r="J63" s="58"/>
      <c r="K63" s="58"/>
      <c r="L63" s="58"/>
      <c r="M63" s="58"/>
      <c r="N63" s="58"/>
      <c r="P63" s="58"/>
      <c r="Q63" s="58"/>
      <c r="R63" s="58"/>
    </row>
    <row r="64" spans="2:18" x14ac:dyDescent="0.3">
      <c r="B64" s="81"/>
      <c r="C64" s="81"/>
      <c r="D64" s="81"/>
      <c r="E64" s="58"/>
      <c r="F64" s="58"/>
      <c r="G64" s="58"/>
      <c r="H64" s="58"/>
      <c r="I64" s="58"/>
      <c r="J64" s="58"/>
      <c r="K64" s="58"/>
      <c r="L64" s="58"/>
      <c r="M64" s="58"/>
      <c r="N64" s="58"/>
      <c r="P64" s="58"/>
      <c r="Q64" s="58"/>
      <c r="R64" s="58"/>
    </row>
    <row r="65" spans="2:18" x14ac:dyDescent="0.3">
      <c r="B65" s="81"/>
      <c r="C65" s="81"/>
      <c r="D65" s="81"/>
      <c r="E65" s="58"/>
      <c r="F65" s="58"/>
      <c r="G65" s="58"/>
      <c r="H65" s="58"/>
      <c r="I65" s="58"/>
      <c r="J65" s="58"/>
      <c r="K65" s="58"/>
      <c r="L65" s="58"/>
      <c r="M65" s="58"/>
      <c r="N65" s="58"/>
      <c r="P65" s="58"/>
      <c r="Q65" s="58"/>
      <c r="R65" s="58"/>
    </row>
    <row r="66" spans="2:18" x14ac:dyDescent="0.3">
      <c r="B66" s="81"/>
      <c r="C66" s="81"/>
      <c r="D66" s="81"/>
      <c r="E66" s="58"/>
      <c r="F66" s="58"/>
      <c r="G66" s="58"/>
      <c r="H66" s="58"/>
      <c r="I66" s="58"/>
      <c r="J66" s="58"/>
      <c r="K66" s="58"/>
      <c r="L66" s="58"/>
      <c r="M66" s="58"/>
      <c r="N66" s="58"/>
      <c r="P66" s="58"/>
      <c r="Q66" s="58"/>
      <c r="R66" s="58"/>
    </row>
    <row r="67" spans="2:18" x14ac:dyDescent="0.3">
      <c r="B67" s="81"/>
      <c r="C67" s="81"/>
      <c r="D67" s="81"/>
      <c r="E67" s="58"/>
      <c r="F67" s="58"/>
      <c r="G67" s="58"/>
      <c r="H67" s="58"/>
      <c r="I67" s="58"/>
      <c r="J67" s="58"/>
      <c r="K67" s="58"/>
      <c r="L67" s="58"/>
      <c r="M67" s="58"/>
      <c r="N67" s="58"/>
      <c r="P67" s="58"/>
      <c r="Q67" s="58"/>
      <c r="R67" s="58"/>
    </row>
    <row r="68" spans="2:18" x14ac:dyDescent="0.3">
      <c r="B68" s="81"/>
      <c r="C68" s="81"/>
      <c r="D68" s="81"/>
      <c r="E68" s="58"/>
      <c r="F68" s="58"/>
      <c r="G68" s="58"/>
      <c r="H68" s="58"/>
      <c r="I68" s="58"/>
      <c r="J68" s="58"/>
      <c r="K68" s="58"/>
      <c r="L68" s="58"/>
      <c r="M68" s="58"/>
      <c r="N68" s="58"/>
      <c r="P68" s="58"/>
      <c r="Q68" s="58"/>
      <c r="R68" s="58"/>
    </row>
    <row r="69" spans="2:18" x14ac:dyDescent="0.3">
      <c r="B69" s="81"/>
      <c r="C69" s="81"/>
      <c r="D69" s="81"/>
      <c r="E69" s="58"/>
      <c r="F69" s="58"/>
      <c r="G69" s="58"/>
      <c r="H69" s="58"/>
      <c r="I69" s="58"/>
      <c r="J69" s="58"/>
      <c r="K69" s="58"/>
      <c r="L69" s="58"/>
      <c r="M69" s="58"/>
      <c r="N69" s="58"/>
      <c r="P69" s="58"/>
      <c r="Q69" s="58"/>
      <c r="R69" s="58"/>
    </row>
    <row r="70" spans="2:18" x14ac:dyDescent="0.3">
      <c r="B70" s="81"/>
      <c r="C70" s="81"/>
      <c r="D70" s="81"/>
      <c r="E70" s="58"/>
      <c r="F70" s="58"/>
      <c r="G70" s="58"/>
      <c r="H70" s="58"/>
      <c r="I70" s="58"/>
      <c r="J70" s="58"/>
      <c r="K70" s="58"/>
      <c r="L70" s="58"/>
      <c r="M70" s="58"/>
      <c r="N70" s="58"/>
      <c r="P70" s="58"/>
      <c r="Q70" s="58"/>
      <c r="R70" s="58"/>
    </row>
    <row r="71" spans="2:18" x14ac:dyDescent="0.3">
      <c r="B71" s="81"/>
      <c r="C71" s="81"/>
      <c r="D71" s="81"/>
      <c r="E71" s="58"/>
      <c r="F71" s="58"/>
      <c r="G71" s="58"/>
      <c r="H71" s="58"/>
      <c r="I71" s="58"/>
      <c r="J71" s="58"/>
      <c r="K71" s="58"/>
      <c r="L71" s="58"/>
      <c r="M71" s="58"/>
      <c r="N71" s="58"/>
      <c r="P71" s="58"/>
      <c r="Q71" s="58"/>
      <c r="R71" s="58"/>
    </row>
    <row r="72" spans="2:18" x14ac:dyDescent="0.3">
      <c r="B72" s="81"/>
      <c r="C72" s="81"/>
      <c r="D72" s="81"/>
      <c r="E72" s="58"/>
      <c r="F72" s="58"/>
      <c r="G72" s="58"/>
      <c r="H72" s="58"/>
      <c r="I72" s="58"/>
      <c r="J72" s="58"/>
      <c r="K72" s="58"/>
      <c r="L72" s="58"/>
      <c r="M72" s="58"/>
      <c r="N72" s="58"/>
      <c r="P72" s="58"/>
      <c r="Q72" s="58"/>
      <c r="R72" s="58"/>
    </row>
    <row r="73" spans="2:18" x14ac:dyDescent="0.3">
      <c r="B73" s="81"/>
      <c r="C73" s="81"/>
      <c r="D73" s="81"/>
      <c r="E73" s="58"/>
      <c r="F73" s="58"/>
      <c r="G73" s="58"/>
      <c r="H73" s="58"/>
      <c r="I73" s="58"/>
      <c r="J73" s="58"/>
      <c r="K73" s="58"/>
      <c r="L73" s="58"/>
      <c r="M73" s="58"/>
      <c r="N73" s="58"/>
      <c r="P73" s="58"/>
      <c r="Q73" s="58"/>
      <c r="R73" s="58"/>
    </row>
    <row r="74" spans="2:18" x14ac:dyDescent="0.3">
      <c r="B74" s="81"/>
      <c r="C74" s="81"/>
      <c r="D74" s="81"/>
      <c r="E74" s="58"/>
      <c r="F74" s="58"/>
      <c r="G74" s="58"/>
      <c r="H74" s="58"/>
      <c r="I74" s="58"/>
      <c r="J74" s="58"/>
      <c r="K74" s="58"/>
      <c r="L74" s="58"/>
      <c r="M74" s="58"/>
      <c r="N74" s="58"/>
      <c r="P74" s="58"/>
      <c r="Q74" s="58"/>
      <c r="R74" s="58"/>
    </row>
    <row r="75" spans="2:18" x14ac:dyDescent="0.3">
      <c r="B75" s="81"/>
      <c r="C75" s="81"/>
      <c r="D75" s="81"/>
      <c r="E75" s="58"/>
      <c r="F75" s="58"/>
      <c r="G75" s="58"/>
      <c r="H75" s="58"/>
      <c r="I75" s="58"/>
      <c r="J75" s="58"/>
      <c r="K75" s="58"/>
      <c r="L75" s="58"/>
      <c r="M75" s="58"/>
      <c r="N75" s="58"/>
      <c r="P75" s="58"/>
      <c r="Q75" s="58"/>
      <c r="R75" s="58"/>
    </row>
    <row r="76" spans="2:18" x14ac:dyDescent="0.3">
      <c r="B76" s="81"/>
      <c r="C76" s="81"/>
      <c r="D76" s="81"/>
      <c r="E76" s="58"/>
      <c r="F76" s="58"/>
      <c r="G76" s="58"/>
      <c r="H76" s="58"/>
      <c r="I76" s="58"/>
      <c r="J76" s="58"/>
      <c r="K76" s="58"/>
      <c r="L76" s="58"/>
      <c r="M76" s="58"/>
      <c r="N76" s="58"/>
      <c r="P76" s="58"/>
      <c r="Q76" s="58"/>
      <c r="R76" s="58"/>
    </row>
    <row r="77" spans="2:18" x14ac:dyDescent="0.3">
      <c r="B77" s="81"/>
      <c r="C77" s="81"/>
      <c r="D77" s="81"/>
      <c r="E77" s="58"/>
      <c r="F77" s="58"/>
      <c r="G77" s="58"/>
      <c r="H77" s="58"/>
      <c r="I77" s="58"/>
      <c r="J77" s="58"/>
      <c r="K77" s="58"/>
      <c r="L77" s="58"/>
      <c r="M77" s="58"/>
      <c r="N77" s="58"/>
      <c r="P77" s="58"/>
      <c r="Q77" s="58"/>
      <c r="R77" s="58"/>
    </row>
    <row r="78" spans="2:18" x14ac:dyDescent="0.3">
      <c r="B78" s="81"/>
      <c r="C78" s="81"/>
      <c r="D78" s="81"/>
      <c r="E78" s="58"/>
      <c r="F78" s="58"/>
      <c r="G78" s="58"/>
      <c r="H78" s="58"/>
      <c r="I78" s="58"/>
      <c r="J78" s="58"/>
      <c r="K78" s="58"/>
      <c r="L78" s="58"/>
      <c r="M78" s="58"/>
      <c r="N78" s="58"/>
      <c r="P78" s="58"/>
      <c r="Q78" s="58"/>
      <c r="R78" s="58"/>
    </row>
    <row r="79" spans="2:18" x14ac:dyDescent="0.3">
      <c r="B79" s="81"/>
      <c r="C79" s="81"/>
      <c r="D79" s="81"/>
      <c r="E79" s="58"/>
      <c r="F79" s="58"/>
      <c r="G79" s="58"/>
      <c r="H79" s="58"/>
      <c r="I79" s="58"/>
      <c r="J79" s="58"/>
      <c r="K79" s="58"/>
      <c r="L79" s="58"/>
      <c r="M79" s="58"/>
      <c r="N79" s="58"/>
      <c r="P79" s="58"/>
      <c r="Q79" s="58"/>
      <c r="R79" s="58"/>
    </row>
    <row r="80" spans="2:18" x14ac:dyDescent="0.3">
      <c r="B80" s="81"/>
      <c r="C80" s="81"/>
      <c r="D80" s="81"/>
      <c r="E80" s="58"/>
      <c r="F80" s="58"/>
      <c r="G80" s="58"/>
      <c r="H80" s="58"/>
      <c r="I80" s="58"/>
      <c r="J80" s="58"/>
      <c r="K80" s="58"/>
      <c r="L80" s="58"/>
      <c r="M80" s="58"/>
      <c r="N80" s="58"/>
      <c r="P80" s="58"/>
      <c r="Q80" s="58"/>
      <c r="R80" s="58"/>
    </row>
    <row r="81" spans="2:18" x14ac:dyDescent="0.3">
      <c r="B81" s="81"/>
      <c r="C81" s="81"/>
      <c r="D81" s="81"/>
      <c r="E81" s="58"/>
      <c r="F81" s="58"/>
      <c r="G81" s="58"/>
      <c r="H81" s="58"/>
      <c r="I81" s="58"/>
      <c r="J81" s="58"/>
      <c r="K81" s="58"/>
      <c r="L81" s="58"/>
      <c r="M81" s="58"/>
      <c r="N81" s="58"/>
      <c r="P81" s="58"/>
      <c r="Q81" s="58"/>
      <c r="R81" s="58"/>
    </row>
    <row r="82" spans="2:18" x14ac:dyDescent="0.3">
      <c r="B82" s="81"/>
      <c r="C82" s="81"/>
      <c r="D82" s="81"/>
      <c r="E82" s="58"/>
      <c r="F82" s="58"/>
      <c r="G82" s="58"/>
      <c r="H82" s="58"/>
      <c r="I82" s="58"/>
      <c r="J82" s="58"/>
      <c r="K82" s="58"/>
      <c r="L82" s="58"/>
      <c r="M82" s="58"/>
      <c r="N82" s="58"/>
      <c r="P82" s="58"/>
      <c r="Q82" s="58"/>
      <c r="R82" s="58"/>
    </row>
    <row r="83" spans="2:18" x14ac:dyDescent="0.3">
      <c r="B83" s="81"/>
      <c r="C83" s="81"/>
      <c r="D83" s="81"/>
      <c r="E83" s="58"/>
      <c r="F83" s="58"/>
      <c r="G83" s="58"/>
      <c r="H83" s="58"/>
      <c r="I83" s="58"/>
      <c r="J83" s="58"/>
      <c r="K83" s="58"/>
      <c r="L83" s="58"/>
      <c r="M83" s="58"/>
      <c r="N83" s="58"/>
      <c r="P83" s="58"/>
      <c r="Q83" s="58"/>
      <c r="R83" s="58"/>
    </row>
    <row r="84" spans="2:18" x14ac:dyDescent="0.3">
      <c r="B84" s="81"/>
      <c r="C84" s="81"/>
      <c r="D84" s="81"/>
      <c r="E84" s="58"/>
      <c r="F84" s="58"/>
      <c r="G84" s="58"/>
      <c r="H84" s="58"/>
      <c r="I84" s="58"/>
      <c r="J84" s="58"/>
      <c r="K84" s="58"/>
      <c r="L84" s="58"/>
      <c r="M84" s="58"/>
      <c r="N84" s="58"/>
      <c r="P84" s="58"/>
      <c r="Q84" s="58"/>
      <c r="R84" s="58"/>
    </row>
    <row r="85" spans="2:18" x14ac:dyDescent="0.3">
      <c r="B85" s="81"/>
      <c r="C85" s="81"/>
      <c r="D85" s="81"/>
      <c r="E85" s="58"/>
      <c r="F85" s="58"/>
      <c r="G85" s="58"/>
      <c r="H85" s="58"/>
      <c r="I85" s="58"/>
      <c r="J85" s="58"/>
      <c r="K85" s="58"/>
      <c r="L85" s="58"/>
      <c r="M85" s="58"/>
      <c r="N85" s="58"/>
      <c r="P85" s="58"/>
      <c r="Q85" s="58"/>
      <c r="R85" s="58"/>
    </row>
    <row r="86" spans="2:18" x14ac:dyDescent="0.3">
      <c r="B86" s="81"/>
      <c r="C86" s="81"/>
      <c r="D86" s="81"/>
      <c r="E86" s="58"/>
      <c r="F86" s="58"/>
      <c r="G86" s="58"/>
      <c r="H86" s="58"/>
      <c r="I86" s="58"/>
      <c r="J86" s="58"/>
      <c r="K86" s="58"/>
      <c r="L86" s="58"/>
      <c r="M86" s="58"/>
      <c r="N86" s="58"/>
      <c r="P86" s="58"/>
      <c r="Q86" s="58"/>
      <c r="R86" s="58"/>
    </row>
    <row r="87" spans="2:18" x14ac:dyDescent="0.3">
      <c r="B87" s="81"/>
      <c r="C87" s="81"/>
      <c r="D87" s="81"/>
      <c r="E87" s="58"/>
      <c r="F87" s="58"/>
      <c r="G87" s="58"/>
      <c r="H87" s="58"/>
      <c r="I87" s="58"/>
      <c r="J87" s="58"/>
      <c r="K87" s="58"/>
      <c r="L87" s="58"/>
      <c r="M87" s="58"/>
      <c r="N87" s="58"/>
      <c r="P87" s="58"/>
      <c r="Q87" s="58"/>
      <c r="R87" s="58"/>
    </row>
    <row r="88" spans="2:18" x14ac:dyDescent="0.3">
      <c r="B88" s="81"/>
      <c r="C88" s="81"/>
      <c r="D88" s="81"/>
      <c r="E88" s="58"/>
      <c r="F88" s="58"/>
      <c r="G88" s="58"/>
      <c r="H88" s="58"/>
      <c r="I88" s="58"/>
      <c r="J88" s="58"/>
      <c r="K88" s="58"/>
      <c r="L88" s="58"/>
      <c r="M88" s="58"/>
      <c r="N88" s="58"/>
      <c r="P88" s="58"/>
      <c r="Q88" s="58"/>
      <c r="R88" s="58"/>
    </row>
    <row r="89" spans="2:18" x14ac:dyDescent="0.3">
      <c r="B89" s="81"/>
      <c r="C89" s="81"/>
      <c r="D89" s="81"/>
      <c r="E89" s="58"/>
      <c r="F89" s="58"/>
      <c r="G89" s="58"/>
      <c r="H89" s="58"/>
      <c r="I89" s="58"/>
      <c r="J89" s="58"/>
      <c r="K89" s="58"/>
      <c r="L89" s="58"/>
      <c r="M89" s="58"/>
      <c r="N89" s="58"/>
      <c r="P89" s="58"/>
      <c r="Q89" s="58"/>
      <c r="R89" s="58"/>
    </row>
    <row r="90" spans="2:18" x14ac:dyDescent="0.3">
      <c r="B90" s="81"/>
      <c r="C90" s="81"/>
      <c r="D90" s="81"/>
      <c r="E90" s="58"/>
      <c r="F90" s="58"/>
      <c r="G90" s="58"/>
      <c r="H90" s="58"/>
      <c r="I90" s="58"/>
      <c r="J90" s="58"/>
      <c r="K90" s="58"/>
      <c r="L90" s="58"/>
      <c r="M90" s="58"/>
      <c r="N90" s="58"/>
      <c r="P90" s="58"/>
      <c r="Q90" s="58"/>
      <c r="R90" s="58"/>
    </row>
    <row r="91" spans="2:18" x14ac:dyDescent="0.3">
      <c r="B91" s="81"/>
      <c r="C91" s="81"/>
      <c r="D91" s="81"/>
      <c r="E91" s="58"/>
      <c r="F91" s="58"/>
      <c r="G91" s="58"/>
      <c r="H91" s="58"/>
      <c r="I91" s="58"/>
      <c r="J91" s="58"/>
      <c r="K91" s="58"/>
      <c r="L91" s="58"/>
      <c r="M91" s="58"/>
      <c r="N91" s="58"/>
      <c r="P91" s="58"/>
      <c r="Q91" s="58"/>
      <c r="R91" s="58"/>
    </row>
    <row r="92" spans="2:18" x14ac:dyDescent="0.3">
      <c r="B92" s="81"/>
      <c r="C92" s="81"/>
      <c r="D92" s="81"/>
      <c r="E92" s="58"/>
      <c r="F92" s="58"/>
      <c r="G92" s="58"/>
      <c r="H92" s="58"/>
      <c r="I92" s="58"/>
      <c r="J92" s="58"/>
      <c r="K92" s="58"/>
      <c r="L92" s="58"/>
      <c r="M92" s="58"/>
      <c r="N92" s="58"/>
      <c r="P92" s="58"/>
      <c r="Q92" s="58"/>
      <c r="R92" s="58"/>
    </row>
    <row r="93" spans="2:18" x14ac:dyDescent="0.3">
      <c r="B93" s="81"/>
      <c r="C93" s="81"/>
      <c r="D93" s="81"/>
      <c r="E93" s="58"/>
      <c r="F93" s="58"/>
      <c r="G93" s="58"/>
      <c r="H93" s="58"/>
      <c r="I93" s="58"/>
      <c r="J93" s="58"/>
      <c r="K93" s="58"/>
      <c r="L93" s="58"/>
      <c r="M93" s="58"/>
      <c r="N93" s="58"/>
      <c r="P93" s="58"/>
      <c r="Q93" s="58"/>
      <c r="R93" s="58"/>
    </row>
    <row r="94" spans="2:18" x14ac:dyDescent="0.3">
      <c r="B94" s="81"/>
      <c r="C94" s="81"/>
      <c r="D94" s="81"/>
      <c r="E94" s="58"/>
      <c r="F94" s="58"/>
      <c r="G94" s="58"/>
      <c r="H94" s="58"/>
      <c r="I94" s="58"/>
      <c r="J94" s="58"/>
      <c r="K94" s="58"/>
      <c r="L94" s="58"/>
      <c r="M94" s="58"/>
      <c r="N94" s="58"/>
      <c r="P94" s="58"/>
      <c r="Q94" s="58"/>
      <c r="R94" s="58"/>
    </row>
    <row r="95" spans="2:18" x14ac:dyDescent="0.3">
      <c r="B95" s="81"/>
      <c r="C95" s="81"/>
      <c r="D95" s="81"/>
      <c r="E95" s="58"/>
      <c r="F95" s="58"/>
      <c r="G95" s="58"/>
      <c r="H95" s="58"/>
      <c r="I95" s="58"/>
      <c r="J95" s="58"/>
      <c r="K95" s="58"/>
      <c r="L95" s="58"/>
      <c r="M95" s="58"/>
      <c r="N95" s="58"/>
      <c r="P95" s="58"/>
      <c r="Q95" s="58"/>
      <c r="R95" s="58"/>
    </row>
    <row r="96" spans="2:18" x14ac:dyDescent="0.3">
      <c r="B96" s="81"/>
      <c r="C96" s="81"/>
      <c r="D96" s="81"/>
      <c r="E96" s="58"/>
      <c r="F96" s="58"/>
      <c r="G96" s="58"/>
      <c r="H96" s="58"/>
      <c r="I96" s="58"/>
      <c r="J96" s="58"/>
      <c r="K96" s="58"/>
      <c r="L96" s="58"/>
      <c r="M96" s="58"/>
      <c r="N96" s="58"/>
      <c r="P96" s="58"/>
      <c r="Q96" s="58"/>
      <c r="R96" s="58"/>
    </row>
    <row r="97" spans="2:18" x14ac:dyDescent="0.3">
      <c r="B97" s="81"/>
      <c r="C97" s="81"/>
      <c r="D97" s="81"/>
      <c r="E97" s="58"/>
      <c r="F97" s="58"/>
      <c r="G97" s="58"/>
      <c r="H97" s="58"/>
      <c r="I97" s="58"/>
      <c r="J97" s="58"/>
      <c r="K97" s="58"/>
      <c r="L97" s="58"/>
      <c r="M97" s="58"/>
      <c r="N97" s="58"/>
      <c r="P97" s="58"/>
      <c r="Q97" s="58"/>
      <c r="R97" s="58"/>
    </row>
    <row r="98" spans="2:18" x14ac:dyDescent="0.3">
      <c r="B98" s="81"/>
      <c r="C98" s="81"/>
      <c r="D98" s="81"/>
      <c r="E98" s="58"/>
      <c r="F98" s="58"/>
      <c r="G98" s="58"/>
      <c r="H98" s="58"/>
      <c r="I98" s="58"/>
      <c r="J98" s="58"/>
      <c r="K98" s="58"/>
      <c r="L98" s="58"/>
      <c r="M98" s="58"/>
      <c r="N98" s="58"/>
      <c r="P98" s="58"/>
      <c r="Q98" s="58"/>
      <c r="R98" s="58"/>
    </row>
    <row r="99" spans="2:18" x14ac:dyDescent="0.3">
      <c r="B99" s="81"/>
      <c r="C99" s="81"/>
      <c r="D99" s="81"/>
      <c r="E99" s="58"/>
      <c r="F99" s="58"/>
      <c r="G99" s="58"/>
      <c r="H99" s="58"/>
      <c r="I99" s="58"/>
      <c r="J99" s="58"/>
      <c r="K99" s="58"/>
      <c r="L99" s="58"/>
      <c r="M99" s="58"/>
      <c r="N99" s="58"/>
      <c r="P99" s="58"/>
      <c r="Q99" s="58"/>
      <c r="R99" s="58"/>
    </row>
    <row r="100" spans="2:18" x14ac:dyDescent="0.3">
      <c r="B100" s="81"/>
      <c r="C100" s="81"/>
      <c r="D100" s="81"/>
      <c r="E100" s="58"/>
      <c r="F100" s="58"/>
      <c r="G100" s="58"/>
      <c r="H100" s="58"/>
      <c r="I100" s="58"/>
      <c r="J100" s="58"/>
      <c r="K100" s="58"/>
      <c r="L100" s="58"/>
      <c r="M100" s="58"/>
      <c r="N100" s="58"/>
      <c r="P100" s="58"/>
      <c r="Q100" s="58"/>
      <c r="R100" s="58"/>
    </row>
    <row r="101" spans="2:18" x14ac:dyDescent="0.3">
      <c r="B101" s="81"/>
      <c r="C101" s="81"/>
      <c r="D101" s="81"/>
      <c r="E101" s="58"/>
      <c r="F101" s="58"/>
      <c r="G101" s="58"/>
      <c r="H101" s="58"/>
      <c r="I101" s="58"/>
      <c r="J101" s="58"/>
      <c r="K101" s="58"/>
      <c r="L101" s="58"/>
      <c r="M101" s="58"/>
      <c r="N101" s="58"/>
      <c r="P101" s="58"/>
      <c r="Q101" s="58"/>
      <c r="R101" s="58"/>
    </row>
    <row r="102" spans="2:18" x14ac:dyDescent="0.3">
      <c r="B102" s="81"/>
      <c r="C102" s="81"/>
      <c r="D102" s="81"/>
      <c r="E102" s="58"/>
      <c r="F102" s="58"/>
      <c r="G102" s="58"/>
      <c r="H102" s="58"/>
      <c r="I102" s="58"/>
      <c r="J102" s="58"/>
      <c r="K102" s="58"/>
      <c r="L102" s="58"/>
      <c r="M102" s="58"/>
      <c r="N102" s="58"/>
      <c r="P102" s="58"/>
      <c r="Q102" s="58"/>
      <c r="R102" s="58"/>
    </row>
    <row r="103" spans="2:18" x14ac:dyDescent="0.3">
      <c r="B103" s="81"/>
      <c r="C103" s="81"/>
      <c r="D103" s="81"/>
      <c r="E103" s="58"/>
      <c r="F103" s="58"/>
      <c r="G103" s="58"/>
      <c r="H103" s="58"/>
      <c r="I103" s="58"/>
      <c r="J103" s="58"/>
      <c r="K103" s="58"/>
      <c r="L103" s="58"/>
      <c r="M103" s="58"/>
      <c r="N103" s="58"/>
      <c r="P103" s="58"/>
      <c r="Q103" s="58"/>
      <c r="R103" s="58"/>
    </row>
    <row r="104" spans="2:18" x14ac:dyDescent="0.3">
      <c r="B104" s="81"/>
      <c r="C104" s="81"/>
      <c r="D104" s="81"/>
      <c r="E104" s="58"/>
      <c r="F104" s="58"/>
      <c r="G104" s="58"/>
      <c r="H104" s="58"/>
      <c r="I104" s="58"/>
      <c r="J104" s="58"/>
      <c r="K104" s="58"/>
      <c r="L104" s="58"/>
      <c r="M104" s="58"/>
      <c r="N104" s="58"/>
      <c r="P104" s="58"/>
      <c r="Q104" s="58"/>
      <c r="R104" s="58"/>
    </row>
    <row r="105" spans="2:18" x14ac:dyDescent="0.3">
      <c r="B105" s="81"/>
      <c r="C105" s="81"/>
      <c r="D105" s="81"/>
      <c r="E105" s="58"/>
      <c r="F105" s="58"/>
      <c r="G105" s="58"/>
      <c r="H105" s="58"/>
      <c r="I105" s="58"/>
      <c r="J105" s="58"/>
      <c r="K105" s="58"/>
      <c r="L105" s="58"/>
      <c r="M105" s="58"/>
      <c r="N105" s="58"/>
      <c r="P105" s="58"/>
      <c r="Q105" s="58"/>
      <c r="R105" s="58"/>
    </row>
    <row r="106" spans="2:18" x14ac:dyDescent="0.3">
      <c r="B106" s="81"/>
      <c r="C106" s="81"/>
      <c r="D106" s="81"/>
      <c r="E106" s="58"/>
      <c r="F106" s="58"/>
      <c r="G106" s="58"/>
      <c r="H106" s="58"/>
      <c r="I106" s="58"/>
      <c r="J106" s="58"/>
      <c r="K106" s="58"/>
      <c r="L106" s="58"/>
      <c r="M106" s="58"/>
      <c r="N106" s="58"/>
      <c r="P106" s="58"/>
      <c r="Q106" s="58"/>
      <c r="R106" s="58"/>
    </row>
    <row r="107" spans="2:18" x14ac:dyDescent="0.3">
      <c r="B107" s="81"/>
      <c r="C107" s="81"/>
      <c r="D107" s="81"/>
      <c r="E107" s="58"/>
      <c r="F107" s="58"/>
      <c r="G107" s="58"/>
      <c r="H107" s="58"/>
      <c r="I107" s="58"/>
      <c r="J107" s="58"/>
      <c r="K107" s="58"/>
      <c r="L107" s="58"/>
      <c r="M107" s="58"/>
      <c r="N107" s="58"/>
      <c r="P107" s="58"/>
      <c r="Q107" s="58"/>
      <c r="R107" s="58"/>
    </row>
    <row r="108" spans="2:18" x14ac:dyDescent="0.3">
      <c r="B108" s="81"/>
      <c r="C108" s="81"/>
      <c r="D108" s="81"/>
      <c r="E108" s="58"/>
      <c r="F108" s="58"/>
      <c r="G108" s="58"/>
      <c r="H108" s="58"/>
      <c r="I108" s="58"/>
      <c r="J108" s="58"/>
      <c r="K108" s="58"/>
      <c r="L108" s="58"/>
      <c r="M108" s="58"/>
      <c r="N108" s="58"/>
      <c r="P108" s="58"/>
      <c r="Q108" s="58"/>
      <c r="R108" s="58"/>
    </row>
    <row r="109" spans="2:18" x14ac:dyDescent="0.3">
      <c r="B109" s="81"/>
      <c r="C109" s="81"/>
      <c r="D109" s="81"/>
      <c r="E109" s="58"/>
      <c r="F109" s="58"/>
      <c r="G109" s="58"/>
      <c r="H109" s="58"/>
      <c r="I109" s="58"/>
      <c r="J109" s="58"/>
      <c r="K109" s="58"/>
      <c r="L109" s="58"/>
      <c r="M109" s="58"/>
      <c r="N109" s="58"/>
      <c r="P109" s="58"/>
      <c r="Q109" s="58"/>
      <c r="R109" s="58"/>
    </row>
    <row r="110" spans="2:18" x14ac:dyDescent="0.3">
      <c r="B110" s="81"/>
      <c r="C110" s="81"/>
      <c r="D110" s="81"/>
      <c r="E110" s="58"/>
      <c r="F110" s="58"/>
      <c r="G110" s="58"/>
      <c r="H110" s="58"/>
      <c r="I110" s="58"/>
      <c r="J110" s="58"/>
      <c r="K110" s="58"/>
      <c r="L110" s="58"/>
      <c r="M110" s="58"/>
      <c r="N110" s="58"/>
      <c r="P110" s="58"/>
      <c r="Q110" s="58"/>
      <c r="R110" s="58"/>
    </row>
    <row r="111" spans="2:18" x14ac:dyDescent="0.3">
      <c r="B111" s="81"/>
      <c r="C111" s="198" t="s">
        <v>245</v>
      </c>
      <c r="D111" s="198"/>
      <c r="E111" s="198"/>
      <c r="F111" s="198"/>
      <c r="G111" s="198"/>
      <c r="H111" s="58"/>
      <c r="I111" s="58"/>
      <c r="J111" s="198" t="s">
        <v>409</v>
      </c>
      <c r="K111" s="198"/>
      <c r="L111" s="198"/>
      <c r="M111" s="58"/>
      <c r="N111" s="58"/>
      <c r="P111" s="58"/>
      <c r="Q111" s="58"/>
      <c r="R111" s="58"/>
    </row>
    <row r="112" spans="2:18" x14ac:dyDescent="0.3">
      <c r="B112" s="81"/>
      <c r="C112" s="198"/>
      <c r="D112" s="198"/>
      <c r="E112" s="198"/>
      <c r="F112" s="198"/>
      <c r="G112" s="198"/>
      <c r="H112" s="58"/>
      <c r="I112" s="58"/>
      <c r="J112" s="198"/>
      <c r="K112" s="198"/>
      <c r="L112" s="198"/>
      <c r="M112" s="58"/>
      <c r="N112" s="58"/>
      <c r="P112" s="58"/>
      <c r="Q112" s="58"/>
      <c r="R112" s="58"/>
    </row>
    <row r="113" spans="2:18" x14ac:dyDescent="0.3">
      <c r="B113" s="81"/>
      <c r="C113" s="81"/>
      <c r="D113" s="81"/>
      <c r="E113" s="58"/>
      <c r="F113" s="58"/>
      <c r="G113" s="58"/>
      <c r="H113" s="58"/>
      <c r="I113" s="58"/>
      <c r="J113" s="58"/>
      <c r="K113" s="58"/>
      <c r="L113" s="58"/>
      <c r="M113" s="58"/>
      <c r="N113" s="58"/>
      <c r="P113" s="58"/>
      <c r="Q113" s="58"/>
      <c r="R113" s="58"/>
    </row>
    <row r="114" spans="2:18" x14ac:dyDescent="0.3">
      <c r="B114" s="81"/>
      <c r="C114" s="81"/>
      <c r="D114" s="81"/>
      <c r="E114" s="58"/>
      <c r="F114" s="58"/>
      <c r="G114" s="58"/>
      <c r="H114" s="58"/>
      <c r="I114" s="58"/>
      <c r="J114" s="58"/>
      <c r="K114" s="58"/>
      <c r="L114" s="58"/>
      <c r="M114" s="58"/>
      <c r="N114" s="58"/>
      <c r="P114" s="58"/>
      <c r="Q114" s="58"/>
      <c r="R114" s="58"/>
    </row>
    <row r="115" spans="2:18" x14ac:dyDescent="0.3">
      <c r="B115" s="81"/>
      <c r="C115" s="81"/>
      <c r="D115" s="81"/>
      <c r="E115" s="58"/>
      <c r="F115" s="58"/>
      <c r="G115" s="58"/>
      <c r="H115" s="58"/>
      <c r="I115" s="58"/>
      <c r="J115" s="58"/>
      <c r="K115" s="58"/>
      <c r="L115" s="58"/>
      <c r="M115" s="58"/>
      <c r="N115" s="58"/>
      <c r="P115" s="58"/>
      <c r="Q115" s="58"/>
      <c r="R115" s="58"/>
    </row>
    <row r="116" spans="2:18" x14ac:dyDescent="0.3">
      <c r="B116" s="81"/>
      <c r="C116" s="81"/>
      <c r="D116" s="81"/>
      <c r="E116" s="58"/>
      <c r="F116" s="58"/>
      <c r="G116" s="58"/>
      <c r="H116" s="58"/>
      <c r="I116" s="58"/>
      <c r="J116" s="58"/>
      <c r="K116" s="58"/>
      <c r="L116" s="58"/>
      <c r="M116" s="58"/>
      <c r="N116" s="58"/>
      <c r="P116" s="58"/>
      <c r="Q116" s="58"/>
      <c r="R116" s="58"/>
    </row>
    <row r="117" spans="2:18" x14ac:dyDescent="0.3">
      <c r="B117" s="81"/>
      <c r="C117" s="81"/>
      <c r="D117" s="81"/>
      <c r="E117" s="58"/>
      <c r="F117" s="58"/>
      <c r="G117" s="58"/>
      <c r="H117" s="58"/>
      <c r="I117" s="58"/>
      <c r="J117" s="58"/>
      <c r="K117" s="58"/>
      <c r="L117" s="58"/>
      <c r="M117" s="58"/>
      <c r="N117" s="58"/>
      <c r="P117" s="58"/>
      <c r="Q117" s="58"/>
      <c r="R117" s="58"/>
    </row>
    <row r="118" spans="2:18" x14ac:dyDescent="0.3">
      <c r="B118" s="81"/>
      <c r="C118" s="81"/>
      <c r="D118" s="81"/>
      <c r="E118" s="58"/>
      <c r="F118" s="58"/>
      <c r="G118" s="58"/>
      <c r="H118" s="58"/>
      <c r="I118" s="58"/>
      <c r="J118" s="58"/>
      <c r="K118" s="58"/>
      <c r="L118" s="58"/>
      <c r="M118" s="58"/>
      <c r="N118" s="58"/>
      <c r="P118" s="58"/>
      <c r="Q118" s="58"/>
      <c r="R118" s="58"/>
    </row>
    <row r="119" spans="2:18" x14ac:dyDescent="0.3">
      <c r="B119" s="81"/>
      <c r="C119" s="81"/>
      <c r="D119" s="81"/>
      <c r="E119" s="58"/>
      <c r="F119" s="58"/>
      <c r="G119" s="58"/>
      <c r="H119" s="58"/>
      <c r="I119" s="58"/>
      <c r="J119" s="58"/>
      <c r="K119" s="58"/>
      <c r="L119" s="58"/>
      <c r="M119" s="58"/>
      <c r="N119" s="58"/>
      <c r="P119" s="58"/>
      <c r="Q119" s="58"/>
      <c r="R119" s="58"/>
    </row>
    <row r="120" spans="2:18" x14ac:dyDescent="0.3">
      <c r="B120" s="81"/>
      <c r="C120" s="81"/>
      <c r="D120" s="81"/>
      <c r="E120" s="58"/>
      <c r="F120" s="58"/>
      <c r="G120" s="58"/>
      <c r="H120" s="58"/>
      <c r="I120" s="58"/>
      <c r="J120" s="58"/>
      <c r="K120" s="58"/>
      <c r="L120" s="58"/>
      <c r="M120" s="58"/>
      <c r="N120" s="58"/>
      <c r="P120" s="58"/>
      <c r="Q120" s="58"/>
      <c r="R120" s="58"/>
    </row>
    <row r="121" spans="2:18" x14ac:dyDescent="0.3">
      <c r="B121" s="81"/>
      <c r="C121" s="81"/>
      <c r="D121" s="81"/>
      <c r="E121" s="58"/>
      <c r="F121" s="58"/>
      <c r="G121" s="58"/>
      <c r="H121" s="58"/>
      <c r="I121" s="58"/>
      <c r="J121" s="58"/>
      <c r="K121" s="58"/>
      <c r="L121" s="58"/>
      <c r="M121" s="58"/>
      <c r="N121" s="58"/>
      <c r="P121" s="58"/>
      <c r="Q121" s="58"/>
      <c r="R121" s="58"/>
    </row>
    <row r="122" spans="2:18" x14ac:dyDescent="0.3">
      <c r="B122" s="81"/>
      <c r="C122" s="81"/>
      <c r="D122" s="81"/>
      <c r="E122" s="58"/>
      <c r="F122" s="58"/>
      <c r="G122" s="58"/>
      <c r="H122" s="58"/>
      <c r="I122" s="58"/>
      <c r="J122" s="58"/>
      <c r="K122" s="58"/>
      <c r="L122" s="58"/>
      <c r="M122" s="58"/>
      <c r="N122" s="58"/>
      <c r="P122" s="58"/>
      <c r="Q122" s="58"/>
      <c r="R122" s="58"/>
    </row>
    <row r="123" spans="2:18" x14ac:dyDescent="0.3">
      <c r="B123" s="81"/>
      <c r="C123" s="81"/>
      <c r="D123" s="81"/>
      <c r="E123" s="58"/>
      <c r="F123" s="58"/>
      <c r="G123" s="58"/>
      <c r="H123" s="58"/>
      <c r="I123" s="58"/>
      <c r="J123" s="58"/>
      <c r="K123" s="58"/>
      <c r="L123" s="58"/>
      <c r="M123" s="58"/>
      <c r="N123" s="58"/>
      <c r="P123" s="58"/>
      <c r="Q123" s="58"/>
      <c r="R123" s="58"/>
    </row>
    <row r="124" spans="2:18" x14ac:dyDescent="0.3">
      <c r="B124" s="81"/>
      <c r="C124" s="81"/>
      <c r="D124" s="81"/>
      <c r="E124" s="58"/>
      <c r="F124" s="58"/>
      <c r="G124" s="58"/>
      <c r="H124" s="58"/>
      <c r="I124" s="58"/>
      <c r="J124" s="58"/>
      <c r="K124" s="58"/>
      <c r="L124" s="58"/>
      <c r="M124" s="58"/>
      <c r="N124" s="58"/>
      <c r="P124" s="58"/>
      <c r="Q124" s="58"/>
      <c r="R124" s="58"/>
    </row>
    <row r="125" spans="2:18" x14ac:dyDescent="0.3">
      <c r="B125" s="81"/>
      <c r="C125" s="81"/>
      <c r="D125" s="81"/>
      <c r="E125" s="58"/>
      <c r="F125" s="58"/>
      <c r="G125" s="58"/>
      <c r="H125" s="58"/>
      <c r="I125" s="58"/>
      <c r="J125" s="58"/>
      <c r="K125" s="58"/>
      <c r="L125" s="58"/>
      <c r="M125" s="58"/>
      <c r="N125" s="58"/>
      <c r="P125" s="58"/>
      <c r="Q125" s="58"/>
      <c r="R125" s="58"/>
    </row>
    <row r="126" spans="2:18" x14ac:dyDescent="0.3">
      <c r="B126" s="81"/>
      <c r="C126" s="81"/>
      <c r="D126" s="81"/>
      <c r="E126" s="58"/>
      <c r="F126" s="58"/>
      <c r="G126" s="58"/>
      <c r="H126" s="58"/>
      <c r="I126" s="58"/>
      <c r="J126" s="58"/>
      <c r="K126" s="58"/>
      <c r="L126" s="58"/>
      <c r="M126" s="58"/>
      <c r="N126" s="58"/>
      <c r="P126" s="58"/>
      <c r="Q126" s="58"/>
      <c r="R126" s="58"/>
    </row>
    <row r="127" spans="2:18" x14ac:dyDescent="0.3">
      <c r="B127" s="81"/>
      <c r="C127" s="81"/>
      <c r="D127" s="81"/>
      <c r="E127" s="58"/>
      <c r="F127" s="58"/>
      <c r="G127" s="58"/>
      <c r="H127" s="58"/>
      <c r="I127" s="58"/>
      <c r="J127" s="58"/>
      <c r="K127" s="58"/>
      <c r="L127" s="58"/>
      <c r="M127" s="58"/>
      <c r="N127" s="58"/>
      <c r="P127" s="58"/>
      <c r="Q127" s="58"/>
      <c r="R127" s="58"/>
    </row>
    <row r="128" spans="2:18" x14ac:dyDescent="0.3">
      <c r="B128" s="81"/>
      <c r="C128" s="81"/>
      <c r="D128" s="81"/>
      <c r="E128" s="58"/>
      <c r="F128" s="58"/>
      <c r="G128" s="58"/>
      <c r="H128" s="58"/>
      <c r="I128" s="58"/>
      <c r="J128" s="58"/>
      <c r="K128" s="58"/>
      <c r="L128" s="58"/>
      <c r="M128" s="58"/>
      <c r="N128" s="58"/>
      <c r="P128" s="58"/>
      <c r="Q128" s="58"/>
      <c r="R128" s="58"/>
    </row>
    <row r="129" spans="2:18" x14ac:dyDescent="0.3">
      <c r="B129" s="81"/>
      <c r="C129" s="81"/>
      <c r="D129" s="81"/>
      <c r="E129" s="58"/>
      <c r="F129" s="58"/>
      <c r="G129" s="58"/>
      <c r="H129" s="58"/>
      <c r="I129" s="58"/>
      <c r="J129" s="58"/>
      <c r="K129" s="58"/>
      <c r="L129" s="58"/>
      <c r="M129" s="58"/>
      <c r="N129" s="58"/>
      <c r="P129" s="58"/>
      <c r="Q129" s="58"/>
      <c r="R129" s="58"/>
    </row>
    <row r="130" spans="2:18" x14ac:dyDescent="0.3">
      <c r="B130" s="81"/>
      <c r="C130" s="81"/>
      <c r="D130" s="81"/>
      <c r="E130" s="58"/>
      <c r="F130" s="58"/>
      <c r="G130" s="58"/>
      <c r="H130" s="58"/>
      <c r="I130" s="58"/>
      <c r="J130" s="58"/>
      <c r="K130" s="58"/>
      <c r="L130" s="58"/>
      <c r="M130" s="58"/>
      <c r="N130" s="58"/>
      <c r="P130" s="58"/>
      <c r="Q130" s="58"/>
      <c r="R130" s="58"/>
    </row>
    <row r="131" spans="2:18" x14ac:dyDescent="0.3">
      <c r="B131" s="81"/>
      <c r="C131" s="81"/>
      <c r="D131" s="81"/>
      <c r="E131" s="58"/>
      <c r="F131" s="58"/>
      <c r="G131" s="58"/>
      <c r="H131" s="58"/>
      <c r="I131" s="58"/>
      <c r="J131" s="58"/>
      <c r="K131" s="58"/>
      <c r="L131" s="58"/>
      <c r="M131" s="58"/>
      <c r="N131" s="58"/>
      <c r="P131" s="58"/>
      <c r="Q131" s="58"/>
      <c r="R131" s="58"/>
    </row>
    <row r="132" spans="2:18" x14ac:dyDescent="0.3">
      <c r="B132" s="81"/>
      <c r="C132" s="81"/>
      <c r="D132" s="81"/>
      <c r="E132" s="58"/>
      <c r="F132" s="58"/>
      <c r="G132" s="58"/>
      <c r="H132" s="58"/>
      <c r="I132" s="58"/>
      <c r="J132" s="58"/>
      <c r="K132" s="58"/>
      <c r="L132" s="58"/>
      <c r="M132" s="58"/>
      <c r="N132" s="58"/>
      <c r="P132" s="58"/>
      <c r="Q132" s="58"/>
      <c r="R132" s="58"/>
    </row>
    <row r="133" spans="2:18" x14ac:dyDescent="0.3">
      <c r="B133" s="81"/>
      <c r="C133" s="81"/>
      <c r="D133" s="81"/>
      <c r="E133" s="58"/>
      <c r="F133" s="58"/>
      <c r="G133" s="58"/>
      <c r="H133" s="58"/>
      <c r="I133" s="58"/>
      <c r="J133" s="58"/>
      <c r="K133" s="58"/>
      <c r="L133" s="58"/>
      <c r="M133" s="58"/>
      <c r="N133" s="58"/>
      <c r="P133" s="58"/>
      <c r="Q133" s="58"/>
      <c r="R133" s="58"/>
    </row>
    <row r="134" spans="2:18" x14ac:dyDescent="0.3">
      <c r="B134" s="81"/>
      <c r="C134" s="81"/>
      <c r="D134" s="81"/>
      <c r="E134" s="58"/>
      <c r="F134" s="58"/>
      <c r="G134" s="58"/>
      <c r="H134" s="58"/>
      <c r="I134" s="58"/>
      <c r="J134" s="58"/>
      <c r="K134" s="58"/>
      <c r="L134" s="58"/>
      <c r="M134" s="58"/>
      <c r="N134" s="58"/>
      <c r="P134" s="58"/>
      <c r="Q134" s="58"/>
      <c r="R134" s="58"/>
    </row>
    <row r="135" spans="2:18" x14ac:dyDescent="0.3">
      <c r="B135" s="81"/>
      <c r="C135" s="81"/>
      <c r="D135" s="81"/>
      <c r="E135" s="58"/>
      <c r="F135" s="58"/>
      <c r="G135" s="58"/>
      <c r="H135" s="58"/>
      <c r="I135" s="58"/>
      <c r="J135" s="58"/>
      <c r="K135" s="58"/>
      <c r="L135" s="58"/>
      <c r="M135" s="58"/>
      <c r="N135" s="58"/>
      <c r="P135" s="58"/>
      <c r="Q135" s="58"/>
      <c r="R135" s="58"/>
    </row>
    <row r="136" spans="2:18" x14ac:dyDescent="0.3">
      <c r="B136" s="81"/>
      <c r="C136" s="81"/>
      <c r="D136" s="81"/>
      <c r="E136" s="58"/>
      <c r="F136" s="58"/>
      <c r="G136" s="58"/>
      <c r="H136" s="58"/>
      <c r="I136" s="58"/>
      <c r="J136" s="58"/>
      <c r="K136" s="58"/>
      <c r="L136" s="58"/>
      <c r="M136" s="58"/>
      <c r="N136" s="58"/>
      <c r="P136" s="58"/>
      <c r="Q136" s="58"/>
      <c r="R136" s="58"/>
    </row>
    <row r="137" spans="2:18" x14ac:dyDescent="0.3">
      <c r="B137" s="81"/>
      <c r="C137" s="81"/>
      <c r="D137" s="81"/>
      <c r="E137" s="58"/>
      <c r="F137" s="58"/>
      <c r="G137" s="58"/>
      <c r="H137" s="58"/>
      <c r="I137" s="58"/>
      <c r="J137" s="58"/>
      <c r="K137" s="58"/>
      <c r="L137" s="58"/>
      <c r="M137" s="58"/>
      <c r="N137" s="58"/>
      <c r="P137" s="58"/>
      <c r="Q137" s="58"/>
      <c r="R137" s="58"/>
    </row>
    <row r="138" spans="2:18" x14ac:dyDescent="0.3">
      <c r="B138" s="81"/>
      <c r="C138" s="81"/>
      <c r="D138" s="81"/>
      <c r="E138" s="58"/>
      <c r="F138" s="58"/>
      <c r="G138" s="58"/>
      <c r="H138" s="58"/>
      <c r="I138" s="58"/>
      <c r="J138" s="58"/>
      <c r="K138" s="58"/>
      <c r="L138" s="58"/>
      <c r="M138" s="58"/>
      <c r="N138" s="58"/>
      <c r="P138" s="58"/>
      <c r="Q138" s="58"/>
      <c r="R138" s="58"/>
    </row>
    <row r="139" spans="2:18" x14ac:dyDescent="0.3">
      <c r="B139" s="81"/>
      <c r="C139" s="81"/>
      <c r="D139" s="81"/>
      <c r="E139" s="58"/>
      <c r="F139" s="58"/>
      <c r="G139" s="58"/>
      <c r="H139" s="58"/>
      <c r="I139" s="58"/>
      <c r="J139" s="58"/>
      <c r="K139" s="58"/>
      <c r="L139" s="58"/>
      <c r="M139" s="58"/>
      <c r="N139" s="58"/>
      <c r="P139" s="58"/>
      <c r="Q139" s="58"/>
      <c r="R139" s="58"/>
    </row>
    <row r="140" spans="2:18" x14ac:dyDescent="0.3">
      <c r="B140" s="81"/>
      <c r="C140" s="81"/>
      <c r="D140" s="81"/>
      <c r="E140" s="58"/>
      <c r="F140" s="58"/>
      <c r="G140" s="58"/>
      <c r="H140" s="58"/>
      <c r="I140" s="58"/>
      <c r="J140" s="58"/>
      <c r="K140" s="58"/>
      <c r="L140" s="58"/>
      <c r="M140" s="58"/>
      <c r="N140" s="58"/>
      <c r="P140" s="58"/>
      <c r="Q140" s="58"/>
      <c r="R140" s="58"/>
    </row>
    <row r="141" spans="2:18" x14ac:dyDescent="0.3">
      <c r="B141" s="81"/>
      <c r="C141" s="81"/>
      <c r="D141" s="81"/>
      <c r="E141" s="58"/>
      <c r="F141" s="58"/>
      <c r="G141" s="58"/>
      <c r="H141" s="58"/>
      <c r="I141" s="58"/>
      <c r="J141" s="58"/>
      <c r="K141" s="58"/>
      <c r="L141" s="58"/>
      <c r="M141" s="58"/>
      <c r="N141" s="58"/>
      <c r="P141" s="58"/>
      <c r="Q141" s="58"/>
      <c r="R141" s="58"/>
    </row>
    <row r="142" spans="2:18" x14ac:dyDescent="0.3">
      <c r="B142" s="81"/>
      <c r="C142" s="81"/>
      <c r="D142" s="81"/>
      <c r="E142" s="58"/>
      <c r="F142" s="58"/>
      <c r="G142" s="58"/>
      <c r="H142" s="58"/>
      <c r="I142" s="58"/>
      <c r="J142" s="58"/>
      <c r="K142" s="58"/>
      <c r="L142" s="58"/>
      <c r="M142" s="58"/>
      <c r="N142" s="58"/>
      <c r="P142" s="58"/>
      <c r="Q142" s="58"/>
      <c r="R142" s="58"/>
    </row>
    <row r="143" spans="2:18" x14ac:dyDescent="0.3">
      <c r="B143" s="81"/>
      <c r="C143" s="81"/>
      <c r="D143" s="81"/>
      <c r="E143" s="58"/>
      <c r="F143" s="58"/>
      <c r="G143" s="58"/>
      <c r="H143" s="58"/>
      <c r="I143" s="58"/>
      <c r="J143" s="58"/>
      <c r="K143" s="58"/>
      <c r="L143" s="58"/>
      <c r="M143" s="58"/>
      <c r="N143" s="58"/>
      <c r="P143" s="58"/>
      <c r="Q143" s="58"/>
      <c r="R143" s="58"/>
    </row>
    <row r="144" spans="2:18" x14ac:dyDescent="0.3">
      <c r="B144" s="81"/>
      <c r="C144" s="81"/>
      <c r="D144" s="81"/>
      <c r="E144" s="58"/>
      <c r="F144" s="58"/>
      <c r="G144" s="58"/>
      <c r="H144" s="58"/>
      <c r="I144" s="58"/>
      <c r="J144" s="58"/>
      <c r="K144" s="58"/>
      <c r="L144" s="58"/>
      <c r="M144" s="58"/>
      <c r="N144" s="58"/>
      <c r="P144" s="58"/>
      <c r="Q144" s="58"/>
      <c r="R144" s="58"/>
    </row>
    <row r="145" spans="2:18" x14ac:dyDescent="0.3">
      <c r="B145" s="81"/>
      <c r="C145" s="81"/>
      <c r="D145" s="81"/>
      <c r="E145" s="58"/>
      <c r="F145" s="58"/>
      <c r="G145" s="58"/>
      <c r="H145" s="58"/>
      <c r="I145" s="58"/>
      <c r="J145" s="58"/>
      <c r="K145" s="58"/>
      <c r="L145" s="58"/>
      <c r="M145" s="58"/>
      <c r="N145" s="58"/>
      <c r="P145" s="58"/>
      <c r="Q145" s="58"/>
      <c r="R145" s="58"/>
    </row>
    <row r="146" spans="2:18" x14ac:dyDescent="0.3">
      <c r="B146" s="81"/>
      <c r="C146" s="81"/>
      <c r="D146" s="81"/>
      <c r="E146" s="58"/>
      <c r="F146" s="58"/>
      <c r="G146" s="58"/>
      <c r="H146" s="58"/>
      <c r="I146" s="58"/>
      <c r="J146" s="58"/>
      <c r="K146" s="58"/>
      <c r="L146" s="58"/>
      <c r="M146" s="58"/>
      <c r="N146" s="58"/>
      <c r="P146" s="58"/>
      <c r="Q146" s="58"/>
      <c r="R146" s="58"/>
    </row>
    <row r="147" spans="2:18" x14ac:dyDescent="0.3">
      <c r="B147" s="81"/>
      <c r="C147" s="81"/>
      <c r="D147" s="81"/>
      <c r="E147" s="58"/>
      <c r="F147" s="58"/>
      <c r="G147" s="58"/>
      <c r="H147" s="58"/>
      <c r="I147" s="58"/>
      <c r="J147" s="58"/>
      <c r="K147" s="58"/>
      <c r="L147" s="58"/>
      <c r="M147" s="58"/>
      <c r="N147" s="58"/>
      <c r="P147" s="58"/>
      <c r="Q147" s="58"/>
      <c r="R147" s="58"/>
    </row>
    <row r="148" spans="2:18" x14ac:dyDescent="0.3">
      <c r="B148" s="81"/>
      <c r="C148" s="81"/>
      <c r="D148" s="81"/>
      <c r="E148" s="58"/>
      <c r="F148" s="58"/>
      <c r="G148" s="58"/>
      <c r="H148" s="58"/>
      <c r="I148" s="58"/>
      <c r="J148" s="58"/>
      <c r="K148" s="58"/>
      <c r="L148" s="58"/>
      <c r="M148" s="58"/>
      <c r="N148" s="58"/>
      <c r="P148" s="58"/>
      <c r="Q148" s="58"/>
      <c r="R148" s="58"/>
    </row>
    <row r="149" spans="2:18" x14ac:dyDescent="0.3">
      <c r="B149" s="81"/>
      <c r="C149" s="81"/>
      <c r="D149" s="81"/>
      <c r="E149" s="58"/>
      <c r="F149" s="58"/>
      <c r="G149" s="58"/>
      <c r="H149" s="58"/>
      <c r="I149" s="58"/>
      <c r="J149" s="58"/>
      <c r="K149" s="58"/>
      <c r="L149" s="58"/>
      <c r="M149" s="58"/>
      <c r="N149" s="58"/>
      <c r="P149" s="58"/>
      <c r="Q149" s="58"/>
      <c r="R149" s="58"/>
    </row>
    <row r="150" spans="2:18" x14ac:dyDescent="0.3">
      <c r="B150" s="81"/>
      <c r="C150" s="81"/>
      <c r="D150" s="81"/>
      <c r="E150" s="58"/>
      <c r="F150" s="58"/>
      <c r="G150" s="58"/>
      <c r="H150" s="58"/>
      <c r="I150" s="58"/>
      <c r="J150" s="58"/>
      <c r="K150" s="58"/>
      <c r="L150" s="58"/>
      <c r="M150" s="58"/>
      <c r="N150" s="58"/>
      <c r="P150" s="58"/>
      <c r="Q150" s="58"/>
      <c r="R150" s="58"/>
    </row>
    <row r="151" spans="2:18" x14ac:dyDescent="0.3">
      <c r="B151" s="81"/>
      <c r="C151" s="81"/>
      <c r="D151" s="81"/>
      <c r="E151" s="58"/>
      <c r="F151" s="58"/>
      <c r="G151" s="58"/>
      <c r="H151" s="58"/>
      <c r="I151" s="58"/>
      <c r="J151" s="58"/>
      <c r="K151" s="58"/>
      <c r="L151" s="58"/>
      <c r="M151" s="58"/>
      <c r="N151" s="58"/>
      <c r="P151" s="58"/>
      <c r="Q151" s="58"/>
      <c r="R151" s="58"/>
    </row>
    <row r="152" spans="2:18" x14ac:dyDescent="0.3">
      <c r="B152" s="81"/>
      <c r="C152" s="81"/>
      <c r="D152" s="81"/>
      <c r="E152" s="58"/>
      <c r="F152" s="58"/>
      <c r="G152" s="58"/>
      <c r="H152" s="58"/>
      <c r="I152" s="58"/>
      <c r="J152" s="58"/>
      <c r="K152" s="58"/>
      <c r="L152" s="58"/>
      <c r="M152" s="58"/>
      <c r="N152" s="58"/>
      <c r="P152" s="58"/>
      <c r="Q152" s="58"/>
      <c r="R152" s="58"/>
    </row>
    <row r="153" spans="2:18" x14ac:dyDescent="0.3">
      <c r="B153" s="81"/>
      <c r="C153" s="81"/>
      <c r="D153" s="81"/>
      <c r="E153" s="58"/>
      <c r="F153" s="58"/>
      <c r="G153" s="58"/>
      <c r="H153" s="58"/>
      <c r="I153" s="58"/>
      <c r="J153" s="58"/>
      <c r="K153" s="58"/>
      <c r="L153" s="58"/>
      <c r="M153" s="58"/>
      <c r="N153" s="58"/>
      <c r="P153" s="58"/>
      <c r="Q153" s="58"/>
      <c r="R153" s="58"/>
    </row>
    <row r="154" spans="2:18" x14ac:dyDescent="0.3">
      <c r="B154" s="81"/>
      <c r="C154" s="81"/>
      <c r="D154" s="81"/>
      <c r="E154" s="58"/>
      <c r="F154" s="58"/>
      <c r="G154" s="58"/>
      <c r="H154" s="58"/>
      <c r="I154" s="58"/>
      <c r="J154" s="58"/>
      <c r="K154" s="58"/>
      <c r="L154" s="58"/>
      <c r="M154" s="58"/>
      <c r="N154" s="58"/>
      <c r="P154" s="58"/>
      <c r="Q154" s="58"/>
      <c r="R154" s="58"/>
    </row>
    <row r="155" spans="2:18" x14ac:dyDescent="0.3">
      <c r="B155" s="81"/>
      <c r="C155" s="81"/>
      <c r="D155" s="81"/>
      <c r="E155" s="58"/>
      <c r="F155" s="58"/>
      <c r="G155" s="58"/>
      <c r="H155" s="58"/>
      <c r="I155" s="58"/>
      <c r="J155" s="58"/>
      <c r="K155" s="58"/>
      <c r="L155" s="58"/>
      <c r="M155" s="58"/>
      <c r="N155" s="58"/>
      <c r="P155" s="58"/>
      <c r="Q155" s="58"/>
      <c r="R155" s="58"/>
    </row>
    <row r="156" spans="2:18" x14ac:dyDescent="0.3">
      <c r="B156" s="81"/>
      <c r="C156" s="81"/>
      <c r="D156" s="81"/>
      <c r="E156" s="58"/>
      <c r="F156" s="58"/>
      <c r="G156" s="58"/>
      <c r="H156" s="58"/>
      <c r="I156" s="58"/>
      <c r="J156" s="58"/>
      <c r="K156" s="58"/>
      <c r="L156" s="58"/>
      <c r="M156" s="58"/>
      <c r="N156" s="58"/>
      <c r="P156" s="58"/>
      <c r="Q156" s="58"/>
      <c r="R156" s="58"/>
    </row>
    <row r="157" spans="2:18" x14ac:dyDescent="0.3">
      <c r="B157" s="81"/>
      <c r="C157" s="81"/>
      <c r="D157" s="81"/>
      <c r="E157" s="58"/>
      <c r="F157" s="58"/>
      <c r="G157" s="58"/>
      <c r="H157" s="58"/>
      <c r="I157" s="58"/>
      <c r="J157" s="58"/>
      <c r="K157" s="58"/>
      <c r="L157" s="58"/>
      <c r="M157" s="58"/>
      <c r="N157" s="58"/>
      <c r="P157" s="58"/>
      <c r="Q157" s="58"/>
      <c r="R157" s="58"/>
    </row>
    <row r="158" spans="2:18" x14ac:dyDescent="0.3">
      <c r="B158" s="81"/>
      <c r="C158" s="81"/>
      <c r="D158" s="81"/>
      <c r="E158" s="58"/>
      <c r="F158" s="58"/>
      <c r="G158" s="58"/>
      <c r="H158" s="58"/>
      <c r="I158" s="58"/>
      <c r="J158" s="58"/>
      <c r="K158" s="58"/>
      <c r="L158" s="58"/>
      <c r="M158" s="58"/>
      <c r="N158" s="58"/>
      <c r="P158" s="58"/>
      <c r="Q158" s="58"/>
      <c r="R158" s="58"/>
    </row>
    <row r="159" spans="2:18" x14ac:dyDescent="0.3">
      <c r="B159" s="81"/>
      <c r="C159" s="81"/>
      <c r="D159" s="81"/>
      <c r="E159" s="58"/>
      <c r="F159" s="58"/>
      <c r="G159" s="58"/>
      <c r="H159" s="58"/>
      <c r="I159" s="58"/>
      <c r="J159" s="58"/>
      <c r="K159" s="58"/>
      <c r="L159" s="58"/>
      <c r="M159" s="58"/>
      <c r="N159" s="58"/>
      <c r="P159" s="58"/>
      <c r="Q159" s="58"/>
      <c r="R159" s="58"/>
    </row>
    <row r="160" spans="2:18" x14ac:dyDescent="0.3">
      <c r="B160" s="81"/>
      <c r="C160" s="81"/>
      <c r="D160" s="81"/>
      <c r="E160" s="58"/>
      <c r="F160" s="58"/>
      <c r="G160" s="58"/>
      <c r="H160" s="58"/>
      <c r="I160" s="58"/>
      <c r="J160" s="58"/>
      <c r="K160" s="58"/>
      <c r="L160" s="58"/>
      <c r="M160" s="58"/>
      <c r="N160" s="58"/>
      <c r="P160" s="58"/>
      <c r="Q160" s="58"/>
      <c r="R160" s="58"/>
    </row>
    <row r="161" spans="2:18" x14ac:dyDescent="0.3">
      <c r="B161" s="81"/>
      <c r="C161" s="81"/>
      <c r="D161" s="81"/>
      <c r="E161" s="58"/>
      <c r="F161" s="58"/>
      <c r="G161" s="58"/>
      <c r="H161" s="58"/>
      <c r="I161" s="58"/>
      <c r="J161" s="58"/>
      <c r="K161" s="58"/>
      <c r="L161" s="58"/>
      <c r="M161" s="58"/>
      <c r="N161" s="58"/>
      <c r="P161" s="58"/>
      <c r="Q161" s="58"/>
      <c r="R161" s="58"/>
    </row>
    <row r="162" spans="2:18" x14ac:dyDescent="0.3">
      <c r="B162" s="81"/>
      <c r="C162" s="81"/>
      <c r="D162" s="81"/>
      <c r="E162" s="58"/>
      <c r="F162" s="58"/>
      <c r="G162" s="58"/>
      <c r="H162" s="58"/>
      <c r="I162" s="58"/>
      <c r="J162" s="58"/>
      <c r="K162" s="58"/>
      <c r="L162" s="58"/>
      <c r="M162" s="58"/>
      <c r="N162" s="58"/>
      <c r="P162" s="58"/>
      <c r="Q162" s="58"/>
      <c r="R162" s="58"/>
    </row>
    <row r="163" spans="2:18" x14ac:dyDescent="0.3">
      <c r="B163" s="81"/>
      <c r="C163" s="81"/>
      <c r="D163" s="81"/>
      <c r="E163" s="58"/>
      <c r="F163" s="58"/>
      <c r="G163" s="58"/>
      <c r="H163" s="58"/>
      <c r="I163" s="58"/>
      <c r="J163" s="58"/>
      <c r="K163" s="58"/>
      <c r="L163" s="58"/>
      <c r="M163" s="58"/>
      <c r="N163" s="58"/>
      <c r="P163" s="58"/>
      <c r="Q163" s="58"/>
      <c r="R163" s="58"/>
    </row>
    <row r="164" spans="2:18" x14ac:dyDescent="0.3">
      <c r="B164" s="81"/>
      <c r="C164" s="81"/>
      <c r="D164" s="81"/>
      <c r="E164" s="58"/>
      <c r="F164" s="58"/>
      <c r="G164" s="58"/>
      <c r="H164" s="58"/>
      <c r="I164" s="58"/>
      <c r="J164" s="58"/>
      <c r="K164" s="58"/>
      <c r="L164" s="58"/>
      <c r="M164" s="58"/>
      <c r="N164" s="58"/>
      <c r="P164" s="58"/>
      <c r="Q164" s="58"/>
      <c r="R164" s="58"/>
    </row>
    <row r="165" spans="2:18" x14ac:dyDescent="0.3">
      <c r="B165" s="81"/>
      <c r="C165" s="81"/>
      <c r="D165" s="81"/>
      <c r="E165" s="58"/>
      <c r="F165" s="58"/>
      <c r="G165" s="58"/>
      <c r="H165" s="58"/>
      <c r="I165" s="58"/>
      <c r="J165" s="58"/>
      <c r="K165" s="58"/>
      <c r="L165" s="58"/>
      <c r="M165" s="58"/>
      <c r="N165" s="58"/>
      <c r="P165" s="58"/>
      <c r="Q165" s="58"/>
      <c r="R165" s="58"/>
    </row>
    <row r="166" spans="2:18" x14ac:dyDescent="0.3">
      <c r="B166" s="81"/>
      <c r="C166" s="81"/>
      <c r="D166" s="81"/>
      <c r="E166" s="58"/>
      <c r="F166" s="58"/>
      <c r="G166" s="58"/>
      <c r="H166" s="58"/>
      <c r="I166" s="58"/>
      <c r="J166" s="58"/>
      <c r="K166" s="58"/>
      <c r="L166" s="58"/>
      <c r="M166" s="58"/>
      <c r="N166" s="58"/>
      <c r="P166" s="58"/>
      <c r="Q166" s="58"/>
      <c r="R166" s="58"/>
    </row>
    <row r="167" spans="2:18" x14ac:dyDescent="0.3">
      <c r="B167" s="81"/>
      <c r="C167" s="81"/>
      <c r="D167" s="81"/>
      <c r="E167" s="58"/>
      <c r="F167" s="58"/>
      <c r="G167" s="58"/>
      <c r="H167" s="58"/>
      <c r="I167" s="58"/>
      <c r="J167" s="58"/>
      <c r="K167" s="58"/>
      <c r="L167" s="58"/>
      <c r="M167" s="58"/>
      <c r="N167" s="58"/>
      <c r="P167" s="58"/>
      <c r="Q167" s="58"/>
      <c r="R167" s="58"/>
    </row>
    <row r="168" spans="2:18" x14ac:dyDescent="0.3">
      <c r="B168" s="81"/>
      <c r="C168" s="81"/>
      <c r="D168" s="81"/>
      <c r="E168" s="58"/>
      <c r="F168" s="58"/>
      <c r="G168" s="58"/>
      <c r="H168" s="58"/>
      <c r="I168" s="58"/>
      <c r="J168" s="58"/>
      <c r="K168" s="58"/>
      <c r="L168" s="58"/>
      <c r="M168" s="58"/>
      <c r="N168" s="58"/>
      <c r="P168" s="58"/>
      <c r="Q168" s="58"/>
      <c r="R168" s="58"/>
    </row>
    <row r="169" spans="2:18" x14ac:dyDescent="0.3">
      <c r="B169" s="81"/>
      <c r="C169" s="81"/>
      <c r="D169" s="81"/>
      <c r="E169" s="58"/>
      <c r="F169" s="58"/>
      <c r="G169" s="58"/>
      <c r="H169" s="58"/>
      <c r="I169" s="58"/>
      <c r="J169" s="58"/>
      <c r="K169" s="58"/>
      <c r="L169" s="58"/>
      <c r="M169" s="58"/>
      <c r="N169" s="58"/>
      <c r="P169" s="58"/>
      <c r="Q169" s="58"/>
      <c r="R169" s="58"/>
    </row>
    <row r="170" spans="2:18" x14ac:dyDescent="0.3">
      <c r="B170" s="81"/>
      <c r="C170" s="81"/>
      <c r="D170" s="81"/>
      <c r="E170" s="58"/>
      <c r="F170" s="58"/>
      <c r="G170" s="58"/>
      <c r="H170" s="58"/>
      <c r="I170" s="58"/>
      <c r="J170" s="58"/>
      <c r="K170" s="58"/>
      <c r="L170" s="58"/>
      <c r="M170" s="58"/>
      <c r="N170" s="58"/>
      <c r="P170" s="58"/>
      <c r="Q170" s="58"/>
      <c r="R170" s="58"/>
    </row>
    <row r="171" spans="2:18" x14ac:dyDescent="0.3">
      <c r="B171" s="81"/>
      <c r="C171" s="81"/>
      <c r="D171" s="81"/>
      <c r="E171" s="58"/>
      <c r="F171" s="58"/>
      <c r="G171" s="58"/>
      <c r="H171" s="58"/>
      <c r="I171" s="58"/>
      <c r="J171" s="58"/>
      <c r="K171" s="58"/>
      <c r="L171" s="58"/>
      <c r="M171" s="58"/>
      <c r="N171" s="58"/>
      <c r="P171" s="58"/>
      <c r="Q171" s="58"/>
      <c r="R171" s="58"/>
    </row>
    <row r="172" spans="2:18" x14ac:dyDescent="0.3">
      <c r="B172" s="81"/>
      <c r="C172" s="81"/>
      <c r="D172" s="81"/>
      <c r="E172" s="58"/>
      <c r="F172" s="58"/>
      <c r="G172" s="58"/>
      <c r="H172" s="58"/>
      <c r="I172" s="58"/>
      <c r="J172" s="58"/>
      <c r="K172" s="58"/>
      <c r="L172" s="58"/>
      <c r="M172" s="58"/>
      <c r="N172" s="58"/>
      <c r="P172" s="58"/>
      <c r="Q172" s="58"/>
      <c r="R172" s="58"/>
    </row>
    <row r="173" spans="2:18" x14ac:dyDescent="0.3">
      <c r="B173" s="81"/>
      <c r="C173" s="81"/>
      <c r="D173" s="81"/>
      <c r="E173" s="58"/>
      <c r="F173" s="58"/>
      <c r="G173" s="58"/>
      <c r="H173" s="58"/>
      <c r="I173" s="58"/>
      <c r="J173" s="58"/>
      <c r="K173" s="58"/>
      <c r="L173" s="58"/>
      <c r="M173" s="58"/>
      <c r="N173" s="58"/>
      <c r="P173" s="58"/>
      <c r="Q173" s="58"/>
      <c r="R173" s="58"/>
    </row>
    <row r="174" spans="2:18" x14ac:dyDescent="0.3">
      <c r="B174" s="81"/>
      <c r="C174" s="81"/>
      <c r="D174" s="81"/>
      <c r="E174" s="58"/>
      <c r="F174" s="58"/>
      <c r="G174" s="58"/>
      <c r="H174" s="58"/>
      <c r="I174" s="58"/>
      <c r="J174" s="58"/>
      <c r="K174" s="58"/>
      <c r="L174" s="58"/>
      <c r="M174" s="58"/>
      <c r="N174" s="58"/>
      <c r="P174" s="58"/>
      <c r="Q174" s="58"/>
      <c r="R174" s="58"/>
    </row>
    <row r="175" spans="2:18" x14ac:dyDescent="0.3">
      <c r="B175" s="81"/>
      <c r="C175" s="81"/>
      <c r="D175" s="81"/>
      <c r="E175" s="58"/>
      <c r="F175" s="58"/>
      <c r="G175" s="58"/>
      <c r="H175" s="58"/>
      <c r="I175" s="58"/>
      <c r="J175" s="58"/>
      <c r="K175" s="58"/>
      <c r="L175" s="58"/>
      <c r="M175" s="58"/>
      <c r="N175" s="58"/>
      <c r="P175" s="58"/>
      <c r="Q175" s="58"/>
      <c r="R175" s="58"/>
    </row>
    <row r="176" spans="2:18" x14ac:dyDescent="0.3">
      <c r="B176" s="81"/>
      <c r="C176" s="81"/>
      <c r="D176" s="81"/>
      <c r="E176" s="58"/>
      <c r="F176" s="58"/>
      <c r="G176" s="58"/>
      <c r="H176" s="58"/>
      <c r="I176" s="58"/>
      <c r="J176" s="58"/>
      <c r="K176" s="58"/>
      <c r="L176" s="58"/>
      <c r="M176" s="58"/>
      <c r="N176" s="58"/>
      <c r="P176" s="58"/>
      <c r="Q176" s="58"/>
      <c r="R176" s="58"/>
    </row>
    <row r="177" spans="2:18" x14ac:dyDescent="0.3">
      <c r="B177" s="81"/>
      <c r="C177" s="81"/>
      <c r="D177" s="81"/>
      <c r="E177" s="58"/>
      <c r="F177" s="58"/>
      <c r="G177" s="58"/>
      <c r="H177" s="58"/>
      <c r="I177" s="58"/>
      <c r="J177" s="58"/>
      <c r="K177" s="58"/>
      <c r="L177" s="58"/>
      <c r="M177" s="58"/>
      <c r="N177" s="58"/>
      <c r="P177" s="58"/>
      <c r="Q177" s="58"/>
      <c r="R177" s="58"/>
    </row>
    <row r="178" spans="2:18" x14ac:dyDescent="0.3">
      <c r="B178" s="81"/>
      <c r="C178" s="81"/>
      <c r="D178" s="81"/>
      <c r="E178" s="58"/>
      <c r="F178" s="58"/>
      <c r="G178" s="58"/>
      <c r="H178" s="58"/>
      <c r="I178" s="58"/>
      <c r="J178" s="58"/>
      <c r="K178" s="58"/>
      <c r="L178" s="58"/>
      <c r="M178" s="58"/>
      <c r="N178" s="58"/>
      <c r="P178" s="58"/>
      <c r="Q178" s="58"/>
      <c r="R178" s="58"/>
    </row>
    <row r="179" spans="2:18" x14ac:dyDescent="0.3">
      <c r="B179" s="81"/>
      <c r="C179" s="81"/>
      <c r="D179" s="81"/>
      <c r="E179" s="58"/>
      <c r="F179" s="58"/>
      <c r="G179" s="58"/>
      <c r="H179" s="58"/>
      <c r="I179" s="58"/>
      <c r="J179" s="58"/>
      <c r="K179" s="58"/>
      <c r="L179" s="58"/>
      <c r="M179" s="58"/>
      <c r="N179" s="58"/>
      <c r="P179" s="58"/>
      <c r="Q179" s="58"/>
      <c r="R179" s="58"/>
    </row>
    <row r="180" spans="2:18" x14ac:dyDescent="0.3">
      <c r="B180" s="81"/>
      <c r="C180" s="81"/>
      <c r="D180" s="81"/>
      <c r="E180" s="58"/>
      <c r="F180" s="58"/>
      <c r="G180" s="58"/>
      <c r="H180" s="58"/>
      <c r="I180" s="58"/>
      <c r="J180" s="58"/>
      <c r="K180" s="58"/>
      <c r="L180" s="58"/>
      <c r="M180" s="58"/>
      <c r="N180" s="58"/>
      <c r="P180" s="58"/>
      <c r="Q180" s="58"/>
      <c r="R180" s="58"/>
    </row>
    <row r="181" spans="2:18" x14ac:dyDescent="0.3">
      <c r="B181" s="81"/>
      <c r="C181" s="81"/>
      <c r="D181" s="81"/>
      <c r="E181" s="58"/>
      <c r="F181" s="58"/>
      <c r="G181" s="58"/>
      <c r="H181" s="58"/>
      <c r="I181" s="58"/>
      <c r="J181" s="58"/>
      <c r="K181" s="58"/>
      <c r="L181" s="58"/>
      <c r="M181" s="58"/>
      <c r="N181" s="58"/>
      <c r="P181" s="58"/>
      <c r="Q181" s="58"/>
      <c r="R181" s="58"/>
    </row>
    <row r="182" spans="2:18" x14ac:dyDescent="0.3">
      <c r="B182" s="81"/>
      <c r="C182" s="81"/>
      <c r="D182" s="81"/>
      <c r="E182" s="58"/>
      <c r="F182" s="58"/>
      <c r="G182" s="58"/>
      <c r="H182" s="58"/>
      <c r="I182" s="58"/>
      <c r="J182" s="58"/>
      <c r="K182" s="58"/>
      <c r="L182" s="58"/>
      <c r="M182" s="58"/>
      <c r="N182" s="58"/>
      <c r="P182" s="58"/>
      <c r="Q182" s="58"/>
      <c r="R182" s="58"/>
    </row>
    <row r="183" spans="2:18" x14ac:dyDescent="0.3">
      <c r="B183" s="81"/>
      <c r="C183" s="81"/>
      <c r="D183" s="81"/>
      <c r="E183" s="58"/>
      <c r="F183" s="58"/>
      <c r="G183" s="58"/>
      <c r="H183" s="58"/>
      <c r="I183" s="58"/>
      <c r="J183" s="58"/>
      <c r="K183" s="58"/>
      <c r="L183" s="58"/>
      <c r="M183" s="58"/>
      <c r="N183" s="58"/>
      <c r="P183" s="58"/>
      <c r="Q183" s="58"/>
      <c r="R183" s="58"/>
    </row>
    <row r="184" spans="2:18" x14ac:dyDescent="0.3">
      <c r="B184" s="81"/>
      <c r="C184" s="81"/>
      <c r="D184" s="81"/>
      <c r="E184" s="58"/>
      <c r="F184" s="58"/>
      <c r="G184" s="58"/>
      <c r="H184" s="58"/>
      <c r="I184" s="58"/>
      <c r="J184" s="58"/>
      <c r="K184" s="58"/>
      <c r="L184" s="58"/>
      <c r="M184" s="58"/>
      <c r="N184" s="58"/>
      <c r="P184" s="58"/>
      <c r="Q184" s="58"/>
      <c r="R184" s="58"/>
    </row>
    <row r="185" spans="2:18" x14ac:dyDescent="0.3">
      <c r="B185" s="81"/>
      <c r="C185" s="81"/>
      <c r="D185" s="81"/>
      <c r="E185" s="58"/>
      <c r="F185" s="58"/>
      <c r="G185" s="58"/>
      <c r="H185" s="58"/>
      <c r="I185" s="58"/>
      <c r="J185" s="58"/>
      <c r="K185" s="58"/>
      <c r="L185" s="58"/>
      <c r="M185" s="58"/>
      <c r="N185" s="58"/>
      <c r="P185" s="58"/>
      <c r="Q185" s="58"/>
      <c r="R185" s="58"/>
    </row>
    <row r="186" spans="2:18" x14ac:dyDescent="0.3">
      <c r="B186" s="81"/>
      <c r="C186" s="81"/>
      <c r="D186" s="81"/>
      <c r="E186" s="58"/>
      <c r="F186" s="58"/>
      <c r="G186" s="58"/>
      <c r="H186" s="58"/>
      <c r="I186" s="58"/>
      <c r="J186" s="58"/>
      <c r="K186" s="58"/>
      <c r="L186" s="58"/>
      <c r="M186" s="58"/>
      <c r="N186" s="58"/>
      <c r="P186" s="58"/>
      <c r="Q186" s="58"/>
      <c r="R186" s="58"/>
    </row>
    <row r="187" spans="2:18" x14ac:dyDescent="0.3">
      <c r="B187" s="81"/>
      <c r="C187" s="81"/>
      <c r="D187" s="81"/>
      <c r="E187" s="58"/>
      <c r="F187" s="58"/>
      <c r="G187" s="58"/>
      <c r="H187" s="58"/>
      <c r="I187" s="58"/>
      <c r="J187" s="58"/>
      <c r="K187" s="58"/>
      <c r="L187" s="58"/>
      <c r="M187" s="58"/>
      <c r="N187" s="58"/>
      <c r="P187" s="58"/>
      <c r="Q187" s="58"/>
      <c r="R187" s="58"/>
    </row>
    <row r="188" spans="2:18" x14ac:dyDescent="0.3">
      <c r="B188" s="81"/>
      <c r="C188" s="81"/>
      <c r="D188" s="81"/>
      <c r="E188" s="58"/>
      <c r="F188" s="58"/>
      <c r="G188" s="58"/>
      <c r="H188" s="58"/>
      <c r="I188" s="58"/>
      <c r="J188" s="58"/>
      <c r="K188" s="58"/>
      <c r="L188" s="58"/>
      <c r="M188" s="58"/>
      <c r="N188" s="58"/>
      <c r="P188" s="58"/>
      <c r="Q188" s="58"/>
      <c r="R188" s="58"/>
    </row>
    <row r="189" spans="2:18" x14ac:dyDescent="0.3">
      <c r="B189" s="81"/>
      <c r="C189" s="81"/>
      <c r="D189" s="81"/>
      <c r="E189" s="58"/>
      <c r="F189" s="58"/>
      <c r="G189" s="58"/>
      <c r="H189" s="58"/>
      <c r="I189" s="58"/>
      <c r="J189" s="58"/>
      <c r="K189" s="58"/>
      <c r="L189" s="58"/>
      <c r="M189" s="58"/>
      <c r="N189" s="58"/>
      <c r="P189" s="58"/>
      <c r="Q189" s="58"/>
      <c r="R189" s="58"/>
    </row>
    <row r="190" spans="2:18" x14ac:dyDescent="0.3">
      <c r="B190" s="81"/>
      <c r="C190" s="81"/>
      <c r="D190" s="81"/>
      <c r="E190" s="58"/>
      <c r="F190" s="58"/>
      <c r="G190" s="58"/>
      <c r="H190" s="58"/>
      <c r="I190" s="58"/>
      <c r="J190" s="58"/>
      <c r="K190" s="58"/>
      <c r="L190" s="58"/>
      <c r="M190" s="58"/>
      <c r="N190" s="58"/>
      <c r="P190" s="58"/>
      <c r="Q190" s="58"/>
      <c r="R190" s="58"/>
    </row>
    <row r="191" spans="2:18" x14ac:dyDescent="0.3">
      <c r="B191" s="81"/>
      <c r="C191" s="81"/>
      <c r="D191" s="81"/>
      <c r="E191" s="58"/>
      <c r="F191" s="58"/>
      <c r="G191" s="58"/>
      <c r="H191" s="58"/>
      <c r="I191" s="58"/>
      <c r="J191" s="58"/>
      <c r="K191" s="58"/>
      <c r="L191" s="58"/>
      <c r="M191" s="58"/>
      <c r="N191" s="58"/>
      <c r="P191" s="58"/>
      <c r="Q191" s="58"/>
      <c r="R191" s="58"/>
    </row>
    <row r="192" spans="2:18" x14ac:dyDescent="0.3">
      <c r="B192" s="81"/>
      <c r="C192" s="81"/>
      <c r="D192" s="81"/>
      <c r="E192" s="58"/>
      <c r="F192" s="58"/>
      <c r="G192" s="58"/>
      <c r="H192" s="58"/>
      <c r="I192" s="58"/>
      <c r="J192" s="58"/>
      <c r="K192" s="58"/>
      <c r="L192" s="58"/>
      <c r="M192" s="58"/>
      <c r="N192" s="58"/>
      <c r="P192" s="58"/>
      <c r="Q192" s="58"/>
      <c r="R192" s="58"/>
    </row>
    <row r="193" spans="2:18" x14ac:dyDescent="0.3">
      <c r="B193" s="81"/>
      <c r="C193" s="81"/>
      <c r="D193" s="81"/>
      <c r="E193" s="58"/>
      <c r="F193" s="58"/>
      <c r="G193" s="58"/>
      <c r="H193" s="58"/>
      <c r="I193" s="58"/>
      <c r="J193" s="58"/>
      <c r="K193" s="58"/>
      <c r="L193" s="58"/>
      <c r="M193" s="58"/>
      <c r="N193" s="58"/>
      <c r="P193" s="58"/>
      <c r="Q193" s="58"/>
      <c r="R193" s="58"/>
    </row>
    <row r="194" spans="2:18" x14ac:dyDescent="0.3">
      <c r="B194" s="81"/>
      <c r="C194" s="81"/>
      <c r="D194" s="81"/>
      <c r="E194" s="58"/>
      <c r="F194" s="58"/>
      <c r="G194" s="58"/>
      <c r="H194" s="58"/>
      <c r="I194" s="58"/>
      <c r="J194" s="58"/>
      <c r="K194" s="58"/>
      <c r="L194" s="58"/>
      <c r="M194" s="58"/>
      <c r="N194" s="58"/>
      <c r="P194" s="58"/>
      <c r="Q194" s="58"/>
      <c r="R194" s="58"/>
    </row>
    <row r="195" spans="2:18" x14ac:dyDescent="0.3">
      <c r="B195" s="81"/>
      <c r="C195" s="81"/>
      <c r="D195" s="81"/>
      <c r="E195" s="58"/>
      <c r="F195" s="58"/>
      <c r="G195" s="58"/>
      <c r="H195" s="58"/>
      <c r="I195" s="58"/>
      <c r="J195" s="58"/>
      <c r="K195" s="58"/>
      <c r="L195" s="58"/>
      <c r="M195" s="58"/>
      <c r="N195" s="58"/>
      <c r="P195" s="58"/>
      <c r="Q195" s="58"/>
      <c r="R195" s="58"/>
    </row>
    <row r="196" spans="2:18" x14ac:dyDescent="0.3">
      <c r="B196" s="81"/>
      <c r="C196" s="81"/>
      <c r="D196" s="81"/>
      <c r="E196" s="58"/>
      <c r="F196" s="58"/>
      <c r="G196" s="58"/>
      <c r="H196" s="58"/>
      <c r="I196" s="58"/>
      <c r="J196" s="58"/>
      <c r="K196" s="58"/>
      <c r="L196" s="58"/>
      <c r="M196" s="58"/>
      <c r="N196" s="58"/>
      <c r="P196" s="58"/>
      <c r="Q196" s="58"/>
      <c r="R196" s="58"/>
    </row>
    <row r="197" spans="2:18" x14ac:dyDescent="0.3">
      <c r="B197" s="81"/>
      <c r="C197" s="81"/>
      <c r="D197" s="81"/>
      <c r="E197" s="58"/>
      <c r="F197" s="58"/>
      <c r="G197" s="58"/>
      <c r="H197" s="58"/>
      <c r="I197" s="58"/>
      <c r="J197" s="58"/>
      <c r="K197" s="58"/>
      <c r="L197" s="58"/>
      <c r="M197" s="58"/>
      <c r="N197" s="58"/>
      <c r="P197" s="58"/>
      <c r="Q197" s="58"/>
      <c r="R197" s="58"/>
    </row>
    <row r="198" spans="2:18" x14ac:dyDescent="0.3">
      <c r="B198" s="81"/>
      <c r="C198" s="81"/>
      <c r="D198" s="81"/>
      <c r="E198" s="58"/>
      <c r="F198" s="58"/>
      <c r="G198" s="58"/>
      <c r="H198" s="58"/>
      <c r="I198" s="58"/>
      <c r="J198" s="58"/>
      <c r="K198" s="58"/>
      <c r="L198" s="58"/>
      <c r="M198" s="58"/>
      <c r="N198" s="58"/>
      <c r="P198" s="58"/>
      <c r="Q198" s="58"/>
      <c r="R198" s="58"/>
    </row>
    <row r="199" spans="2:18" x14ac:dyDescent="0.3">
      <c r="B199" s="81"/>
      <c r="C199" s="81"/>
      <c r="D199" s="81"/>
      <c r="E199" s="58"/>
      <c r="F199" s="58"/>
      <c r="G199" s="58"/>
      <c r="H199" s="58"/>
      <c r="I199" s="58"/>
      <c r="J199" s="58"/>
      <c r="K199" s="58"/>
      <c r="L199" s="58"/>
      <c r="M199" s="58"/>
      <c r="N199" s="58"/>
      <c r="P199" s="58"/>
      <c r="Q199" s="58"/>
      <c r="R199" s="58"/>
    </row>
    <row r="200" spans="2:18" x14ac:dyDescent="0.3">
      <c r="B200" s="81"/>
      <c r="C200" s="81"/>
      <c r="D200" s="81"/>
      <c r="E200" s="58"/>
      <c r="F200" s="58"/>
      <c r="G200" s="58"/>
      <c r="H200" s="58"/>
      <c r="I200" s="58"/>
      <c r="J200" s="58"/>
      <c r="K200" s="58"/>
      <c r="L200" s="58"/>
      <c r="M200" s="58"/>
      <c r="N200" s="58"/>
      <c r="P200" s="58"/>
      <c r="Q200" s="58"/>
      <c r="R200" s="58"/>
    </row>
    <row r="201" spans="2:18" x14ac:dyDescent="0.3">
      <c r="B201" s="81"/>
      <c r="C201" s="81"/>
      <c r="D201" s="81"/>
      <c r="E201" s="58"/>
      <c r="F201" s="58"/>
      <c r="G201" s="58"/>
      <c r="H201" s="58"/>
      <c r="I201" s="58"/>
      <c r="J201" s="58"/>
      <c r="K201" s="58"/>
      <c r="L201" s="58"/>
      <c r="M201" s="58"/>
      <c r="N201" s="58"/>
      <c r="P201" s="58"/>
      <c r="Q201" s="58"/>
      <c r="R201" s="58"/>
    </row>
    <row r="202" spans="2:18" x14ac:dyDescent="0.3">
      <c r="B202" s="81"/>
      <c r="C202" s="81"/>
      <c r="D202" s="81"/>
      <c r="E202" s="58"/>
      <c r="F202" s="58"/>
      <c r="G202" s="58"/>
      <c r="H202" s="58"/>
      <c r="I202" s="58"/>
      <c r="J202" s="58"/>
      <c r="K202" s="58"/>
      <c r="L202" s="58"/>
      <c r="M202" s="58"/>
      <c r="N202" s="58"/>
      <c r="P202" s="58"/>
      <c r="Q202" s="58"/>
      <c r="R202" s="58"/>
    </row>
    <row r="203" spans="2:18" x14ac:dyDescent="0.3">
      <c r="B203" s="81"/>
      <c r="C203" s="81"/>
      <c r="D203" s="81"/>
      <c r="E203" s="58"/>
      <c r="F203" s="58"/>
      <c r="G203" s="58"/>
      <c r="H203" s="58"/>
      <c r="I203" s="58"/>
      <c r="J203" s="58"/>
      <c r="K203" s="58"/>
      <c r="L203" s="58"/>
      <c r="M203" s="58"/>
      <c r="N203" s="58"/>
      <c r="P203" s="58"/>
      <c r="Q203" s="58"/>
      <c r="R203" s="58"/>
    </row>
    <row r="204" spans="2:18" x14ac:dyDescent="0.3">
      <c r="B204" s="81"/>
      <c r="C204" s="81"/>
      <c r="D204" s="81"/>
      <c r="E204" s="58"/>
      <c r="F204" s="58"/>
      <c r="G204" s="58"/>
      <c r="H204" s="58"/>
      <c r="I204" s="58"/>
      <c r="J204" s="58"/>
      <c r="K204" s="58"/>
      <c r="L204" s="58"/>
      <c r="M204" s="58"/>
      <c r="N204" s="58"/>
      <c r="P204" s="58"/>
      <c r="Q204" s="58"/>
      <c r="R204" s="58"/>
    </row>
    <row r="205" spans="2:18" x14ac:dyDescent="0.3">
      <c r="B205" s="81"/>
      <c r="C205" s="81"/>
      <c r="D205" s="81"/>
      <c r="E205" s="58"/>
      <c r="F205" s="58"/>
      <c r="G205" s="58"/>
      <c r="H205" s="58"/>
      <c r="I205" s="58"/>
      <c r="J205" s="58"/>
      <c r="K205" s="58"/>
      <c r="L205" s="58"/>
      <c r="M205" s="58"/>
      <c r="N205" s="58"/>
      <c r="P205" s="58"/>
      <c r="Q205" s="58"/>
      <c r="R205" s="58"/>
    </row>
    <row r="206" spans="2:18" x14ac:dyDescent="0.3">
      <c r="B206" s="81"/>
      <c r="C206" s="81"/>
      <c r="D206" s="81"/>
      <c r="E206" s="58"/>
      <c r="F206" s="58"/>
      <c r="G206" s="58"/>
      <c r="H206" s="58"/>
      <c r="I206" s="58"/>
      <c r="J206" s="58"/>
      <c r="K206" s="58"/>
      <c r="L206" s="58"/>
      <c r="M206" s="58"/>
      <c r="N206" s="58"/>
      <c r="P206" s="58"/>
      <c r="Q206" s="58"/>
      <c r="R206" s="58"/>
    </row>
  </sheetData>
  <customSheetViews>
    <customSheetView guid="{821D1691-1FA5-412F-8FF4-9E35B3587D16}" scale="70">
      <pane xSplit="6" ySplit="8" topLeftCell="G9" activePane="bottomRight" state="frozen"/>
      <selection pane="bottomRight" activeCell="O7" sqref="O7"/>
      <pageMargins left="0.7" right="0.7" top="0.75" bottom="0.75" header="0.3" footer="0.3"/>
      <pageSetup paperSize="9" orientation="portrait" horizontalDpi="4294967292" verticalDpi="4294967292" r:id="rId1"/>
    </customSheetView>
  </customSheetViews>
  <mergeCells count="28">
    <mergeCell ref="B25:C25"/>
    <mergeCell ref="B26:C26"/>
    <mergeCell ref="M12:N12"/>
    <mergeCell ref="F12:G12"/>
    <mergeCell ref="B21:D22"/>
    <mergeCell ref="B2:D2"/>
    <mergeCell ref="B3:D3"/>
    <mergeCell ref="B4:D4"/>
    <mergeCell ref="B5:D5"/>
    <mergeCell ref="B6:D6"/>
    <mergeCell ref="C111:G112"/>
    <mergeCell ref="J111:L112"/>
    <mergeCell ref="C37:L37"/>
    <mergeCell ref="B33:N33"/>
    <mergeCell ref="B28:D28"/>
    <mergeCell ref="F8:L8"/>
    <mergeCell ref="K10:L10"/>
    <mergeCell ref="K11:L11"/>
    <mergeCell ref="B12:C12"/>
    <mergeCell ref="B23:C23"/>
    <mergeCell ref="B8:D9"/>
    <mergeCell ref="B14:B15"/>
    <mergeCell ref="C14:C15"/>
    <mergeCell ref="D14:D15"/>
    <mergeCell ref="B10:C10"/>
    <mergeCell ref="B11:C11"/>
    <mergeCell ref="F10:G10"/>
    <mergeCell ref="F11:G11"/>
  </mergeCells>
  <conditionalFormatting sqref="L3:M6">
    <cfRule type="expression" dxfId="17" priority="9">
      <formula>IF(L3&lt;0,TRUE,FALSE)</formula>
    </cfRule>
    <cfRule type="expression" dxfId="16" priority="10">
      <formula>IF(L3&gt;0,TRUE,FALSE)</formula>
    </cfRule>
  </conditionalFormatting>
  <conditionalFormatting sqref="B24:D24">
    <cfRule type="expression" dxfId="15" priority="8">
      <formula>IF($D$23="Average",FALSE,TRUE)</formula>
    </cfRule>
  </conditionalFormatting>
  <conditionalFormatting sqref="B33">
    <cfRule type="expression" dxfId="14" priority="6">
      <formula>IF($B$33="",TRUE,FALSE)</formula>
    </cfRule>
  </conditionalFormatting>
  <conditionalFormatting sqref="D31">
    <cfRule type="expression" dxfId="13" priority="4">
      <formula>IF($C$31="%+",TRUE,IF($C$31="%-",TRUE,FALSE))</formula>
    </cfRule>
    <cfRule type="expression" dxfId="12" priority="5">
      <formula>IF($C$31="m$+",TRUE,IF($C$31="m$-",TRUE,FALSE))</formula>
    </cfRule>
  </conditionalFormatting>
  <dataValidations count="20">
    <dataValidation type="list" allowBlank="1" showInputMessage="1" showErrorMessage="1" sqref="D23">
      <formula1>Reference_Year</formula1>
    </dataValidation>
    <dataValidation type="list" allowBlank="1" showInputMessage="1" sqref="B3:B6">
      <formula1>Members</formula1>
    </dataValidation>
    <dataValidation type="list" allowBlank="1" showInputMessage="1" sqref="D11">
      <formula1>TDS_Growth_Rate</formula1>
    </dataValidation>
    <dataValidation type="list" allowBlank="1" sqref="D10">
      <formula1>VoP_Growth_Rate</formula1>
    </dataValidation>
    <dataValidation type="list" showInputMessage="1" showErrorMessage="1" errorTitle="Valid Entries: Hide or Show" error="Please enter either 'Show' or 'Hide' depending on if you want the relevant graph to be displayed below. " sqref="J10:J12">
      <formula1>ShowHide</formula1>
    </dataValidation>
    <dataValidation type="list" errorStyle="warning" allowBlank="1" showErrorMessage="1" errorTitle="Invalid Date" error="Please enter a date between 2013 and 2030." sqref="D13">
      <formula1>Limits_Dates</formula1>
    </dataValidation>
    <dataValidation errorStyle="warning" allowBlank="1" showErrorMessage="1" errorTitle="Invalid Date" error="Please enter a date between 2013 and 2030." sqref="P1:S14"/>
    <dataValidation type="whole" allowBlank="1" showInputMessage="1" showErrorMessage="1" errorTitle="Invalid Year Range" error="Please pick a year between 2006 and 2029." sqref="C24">
      <formula1>2006</formula1>
      <formula2>2029</formula2>
    </dataValidation>
    <dataValidation type="whole" allowBlank="1" showInputMessage="1" showErrorMessage="1" errorTitle="Invalid Year" error="Please pick a year between 2007 and 2030. " sqref="D24">
      <formula1>2007</formula1>
      <formula2>2030</formula2>
    </dataValidation>
    <dataValidation type="list" allowBlank="1" showInputMessage="1" showErrorMessage="1" errorTitle="Invalid Function" error="Please select a function from the drop down list. " sqref="C29">
      <formula1>DMMod</formula1>
    </dataValidation>
    <dataValidation type="list" allowBlank="1" showInputMessage="1" showErrorMessage="1" errorTitle="Invalid Function" error="Please select a function from the drop down list. " sqref="C30">
      <formula1>AMSMod</formula1>
    </dataValidation>
    <dataValidation type="list" allowBlank="1" showInputMessage="1" showErrorMessage="1" errorTitle="Invalid Function" error="Please select a function from the drop down list. " sqref="C31">
      <formula1>MiscMod</formula1>
    </dataValidation>
    <dataValidation type="list" allowBlank="1" showInputMessage="1" showErrorMessage="1" errorTitle="Improper Comparison" error="Please select a valid comparison from the drop down list." sqref="K12">
      <formula1>DDComp1</formula1>
    </dataValidation>
    <dataValidation type="list" allowBlank="1" showInputMessage="1" showErrorMessage="1" errorTitle="Improper Comparison" error="Please select a valid comparison from the drop down list." sqref="L12">
      <formula1>DDComp2</formula1>
    </dataValidation>
    <dataValidation type="list" errorStyle="warning" allowBlank="1" showErrorMessage="1" errorTitle="Invalid Date" error="Please enter a date between 2006 and 2030." sqref="D12">
      <formula1>TDS_Dates</formula1>
    </dataValidation>
    <dataValidation type="decimal" operator="greaterThanOrEqual" allowBlank="1" showInputMessage="1" showErrorMessage="1" errorTitle="Positive Numers Only" error="Please enter a positive number in millions. For example, &quot;10&quot; will be interpreted as US$10,000,000." sqref="D30">
      <formula1>0</formula1>
    </dataValidation>
    <dataValidation type="list" allowBlank="1" showInputMessage="1" showErrorMessage="1" errorTitle="Invalid Member" error="Please select one of the four Members you have chosen in the top left hand 'Select Members' box." sqref="F8:L8">
      <formula1>$B$3:$B$6</formula1>
    </dataValidation>
    <dataValidation type="list" showInputMessage="1" showErrorMessage="1" errorTitle="Valid Entries: Show or Hide" error="Please enter either 'Show' or 'Hide' depending on if you want the relevant graph to be displayed below. " sqref="H10:H12">
      <formula1>ShowHide</formula1>
    </dataValidation>
    <dataValidation type="list" showInputMessage="1" showErrorMessage="1" sqref="C111:G112">
      <formula1>DDComp1</formula1>
    </dataValidation>
    <dataValidation type="list" showInputMessage="1" showErrorMessage="1" sqref="J111:L112">
      <formula1>DDComp3</formula1>
    </dataValidation>
  </dataValidations>
  <pageMargins left="0.23622047244094491" right="0.23622047244094491" top="0.74803149606299213" bottom="0.74803149606299213" header="0.31496062992125984" footer="0.31496062992125984"/>
  <pageSetup paperSize="9" scale="52" orientation="landscape" horizontalDpi="4294967292" verticalDpi="4294967292" r:id="rId2"/>
  <rowBreaks count="1" manualBreakCount="1">
    <brk id="36" max="14" man="1"/>
  </rowBreaks>
  <colBreaks count="1" manualBreakCount="1">
    <brk id="1" max="133" man="1"/>
  </colBreaks>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14"/>
  <sheetViews>
    <sheetView workbookViewId="0">
      <selection activeCell="C5" sqref="C5"/>
    </sheetView>
  </sheetViews>
  <sheetFormatPr defaultRowHeight="15" x14ac:dyDescent="0.25"/>
  <cols>
    <col min="1" max="1" width="23.28515625" bestFit="1" customWidth="1"/>
    <col min="2" max="2" width="18.85546875" bestFit="1" customWidth="1"/>
    <col min="3" max="3" width="18.42578125" customWidth="1"/>
    <col min="4" max="9" width="18.85546875" bestFit="1" customWidth="1"/>
  </cols>
  <sheetData>
    <row r="1" spans="1:9" ht="23.25" x14ac:dyDescent="0.35">
      <c r="A1" s="1">
        <v>2006</v>
      </c>
      <c r="B1" s="1">
        <v>2006</v>
      </c>
      <c r="C1" s="1">
        <v>2007</v>
      </c>
      <c r="D1" s="1">
        <v>2008</v>
      </c>
      <c r="E1" s="1">
        <v>2009</v>
      </c>
      <c r="F1" s="1">
        <v>2010</v>
      </c>
      <c r="G1" s="1">
        <v>2011</v>
      </c>
      <c r="H1" s="1">
        <v>2012</v>
      </c>
      <c r="I1" s="1">
        <v>2013</v>
      </c>
    </row>
    <row r="2" spans="1:9" ht="30" x14ac:dyDescent="0.25">
      <c r="A2" s="2" t="s">
        <v>161</v>
      </c>
      <c r="B2" s="2" t="s">
        <v>157</v>
      </c>
      <c r="C2" s="2" t="s">
        <v>157</v>
      </c>
      <c r="D2" s="2" t="s">
        <v>157</v>
      </c>
      <c r="E2" s="2" t="s">
        <v>157</v>
      </c>
      <c r="F2" s="2" t="s">
        <v>157</v>
      </c>
      <c r="G2" s="2" t="s">
        <v>157</v>
      </c>
      <c r="H2" s="2" t="s">
        <v>157</v>
      </c>
      <c r="I2" s="2" t="s">
        <v>157</v>
      </c>
    </row>
    <row r="3" spans="1:9" x14ac:dyDescent="0.25">
      <c r="A3" t="s">
        <v>1</v>
      </c>
      <c r="B3" s="3">
        <v>21914840000</v>
      </c>
      <c r="C3" s="3">
        <v>27997630000</v>
      </c>
      <c r="D3" s="3">
        <v>34654620000</v>
      </c>
      <c r="E3" s="3">
        <v>29716470000</v>
      </c>
      <c r="F3" s="3">
        <v>31683240000</v>
      </c>
      <c r="G3" s="3">
        <v>41370890000</v>
      </c>
      <c r="H3" s="3">
        <v>42626950000</v>
      </c>
      <c r="I3" s="3">
        <v>41027430000</v>
      </c>
    </row>
    <row r="4" spans="1:9" x14ac:dyDescent="0.25">
      <c r="A4" t="s">
        <v>2</v>
      </c>
      <c r="B4" s="3">
        <v>77145440000</v>
      </c>
      <c r="C4" s="3">
        <v>108990300000</v>
      </c>
      <c r="D4" s="3">
        <v>145739930000</v>
      </c>
      <c r="E4" s="3">
        <v>133491769999.99998</v>
      </c>
      <c r="F4" s="3">
        <v>162547330000</v>
      </c>
      <c r="G4" s="3">
        <v>209215220000</v>
      </c>
      <c r="H4" s="3">
        <v>202260950000</v>
      </c>
      <c r="I4" s="3">
        <v>219401560000</v>
      </c>
    </row>
    <row r="5" spans="1:9" x14ac:dyDescent="0.25">
      <c r="A5" t="s">
        <v>3</v>
      </c>
      <c r="B5" s="3">
        <v>17114860000</v>
      </c>
      <c r="C5" s="3">
        <v>21891480000</v>
      </c>
      <c r="D5" s="3">
        <v>31979370000</v>
      </c>
      <c r="E5" s="3">
        <v>25783060000</v>
      </c>
      <c r="F5" s="3">
        <v>26167520000</v>
      </c>
      <c r="G5" s="3">
        <v>32556450000</v>
      </c>
      <c r="H5" s="3">
        <v>37272460000</v>
      </c>
      <c r="I5" s="3">
        <v>41112280000</v>
      </c>
    </row>
    <row r="6" spans="1:9" x14ac:dyDescent="0.25">
      <c r="A6" t="s">
        <v>4</v>
      </c>
      <c r="B6" s="3">
        <v>513138880000</v>
      </c>
      <c r="C6" s="3">
        <v>614438940000</v>
      </c>
      <c r="D6" s="3">
        <v>768741090000</v>
      </c>
      <c r="E6" s="3">
        <v>774921030000</v>
      </c>
      <c r="F6" s="3">
        <v>887215420000</v>
      </c>
      <c r="G6" s="3">
        <v>1152662210000</v>
      </c>
      <c r="H6" s="3">
        <v>1229716840000</v>
      </c>
      <c r="I6" s="3">
        <v>1284599430000</v>
      </c>
    </row>
    <row r="7" spans="1:9" x14ac:dyDescent="0.25">
      <c r="A7" t="s">
        <v>5</v>
      </c>
      <c r="B7" s="3">
        <v>307584630000</v>
      </c>
      <c r="C7" s="3">
        <v>370185060000</v>
      </c>
      <c r="D7" s="3">
        <v>419390290000</v>
      </c>
      <c r="E7" s="3">
        <v>338960910000</v>
      </c>
      <c r="F7" s="3">
        <v>354471320000</v>
      </c>
      <c r="G7" s="3">
        <v>413246520000</v>
      </c>
      <c r="H7" s="3">
        <v>387688440000</v>
      </c>
      <c r="I7" s="3">
        <v>413444430000</v>
      </c>
    </row>
    <row r="8" spans="1:9" x14ac:dyDescent="0.25">
      <c r="A8" t="s">
        <v>6</v>
      </c>
      <c r="B8" s="3">
        <v>155558510000</v>
      </c>
      <c r="C8" s="3">
        <v>199631800000</v>
      </c>
      <c r="D8" s="3">
        <v>215061710000</v>
      </c>
      <c r="E8" s="3">
        <v>206898020000</v>
      </c>
      <c r="F8" s="3">
        <v>230630890000</v>
      </c>
      <c r="G8" s="3">
        <v>247363500000</v>
      </c>
      <c r="H8" s="3">
        <v>238672350000</v>
      </c>
      <c r="I8" s="3">
        <v>256781770000</v>
      </c>
    </row>
    <row r="9" spans="1:9" x14ac:dyDescent="0.25">
      <c r="A9" t="s">
        <v>7</v>
      </c>
      <c r="B9" s="3">
        <v>46082250000</v>
      </c>
      <c r="C9" s="3">
        <v>54927390000</v>
      </c>
      <c r="D9" s="3">
        <v>67406509999.999992</v>
      </c>
      <c r="E9" s="3">
        <v>67798850000.000008</v>
      </c>
      <c r="F9" s="3">
        <v>92455690000</v>
      </c>
      <c r="G9" s="3">
        <v>141115870000</v>
      </c>
      <c r="H9" s="3">
        <v>144297800000</v>
      </c>
      <c r="I9" s="3">
        <v>126046840000</v>
      </c>
    </row>
    <row r="10" spans="1:9" x14ac:dyDescent="0.25">
      <c r="A10" t="s">
        <v>8</v>
      </c>
      <c r="B10" s="3">
        <v>60864140000</v>
      </c>
      <c r="C10" s="3">
        <v>58420380000</v>
      </c>
      <c r="D10" s="3">
        <v>66905580000</v>
      </c>
      <c r="E10" s="3">
        <v>71731720000</v>
      </c>
      <c r="F10" s="3">
        <v>77693690000</v>
      </c>
      <c r="G10" s="3">
        <v>81940130000</v>
      </c>
      <c r="H10" s="3">
        <v>86940080000</v>
      </c>
      <c r="I10" s="3">
        <v>71147430000</v>
      </c>
    </row>
    <row r="11" spans="1:9" x14ac:dyDescent="0.25">
      <c r="A11" t="s">
        <v>10</v>
      </c>
      <c r="B11" s="3">
        <v>181753540000</v>
      </c>
      <c r="C11" s="3">
        <v>244073580000</v>
      </c>
      <c r="D11" s="3">
        <v>249290630000</v>
      </c>
      <c r="E11" s="3">
        <v>227040750000</v>
      </c>
      <c r="F11" s="3">
        <v>275968550000</v>
      </c>
      <c r="G11" s="3">
        <v>304088930000</v>
      </c>
      <c r="H11" s="3">
        <v>315680080000</v>
      </c>
      <c r="I11" s="3">
        <v>311084290000</v>
      </c>
    </row>
    <row r="14" spans="1:9" ht="23.25" x14ac:dyDescent="0.35">
      <c r="A14" s="1">
        <v>2007</v>
      </c>
    </row>
    <row r="15" spans="1:9" x14ac:dyDescent="0.25">
      <c r="A15" s="2" t="s">
        <v>161</v>
      </c>
      <c r="B15" s="2" t="s">
        <v>157</v>
      </c>
    </row>
    <row r="16" spans="1:9" x14ac:dyDescent="0.25">
      <c r="A16" t="s">
        <v>1</v>
      </c>
      <c r="B16" s="3">
        <v>27997630000</v>
      </c>
      <c r="C16" s="48">
        <f t="shared" ref="C16:C24" si="0">((100/B3)*B16-100)/100</f>
        <v>0.27756488297427678</v>
      </c>
    </row>
    <row r="17" spans="1:3" x14ac:dyDescent="0.25">
      <c r="A17" t="s">
        <v>2</v>
      </c>
      <c r="B17" s="3">
        <v>108990300000</v>
      </c>
      <c r="C17" s="48">
        <f t="shared" si="0"/>
        <v>0.41278991992268116</v>
      </c>
    </row>
    <row r="18" spans="1:3" x14ac:dyDescent="0.25">
      <c r="A18" t="s">
        <v>3</v>
      </c>
      <c r="B18" s="3">
        <v>21891480000</v>
      </c>
      <c r="C18" s="48">
        <f t="shared" si="0"/>
        <v>0.27909197036960876</v>
      </c>
    </row>
    <row r="19" spans="1:3" x14ac:dyDescent="0.25">
      <c r="A19" t="s">
        <v>4</v>
      </c>
      <c r="B19" s="3">
        <v>614438940000</v>
      </c>
      <c r="C19" s="48">
        <f t="shared" si="0"/>
        <v>0.1974125601240739</v>
      </c>
    </row>
    <row r="20" spans="1:3" x14ac:dyDescent="0.25">
      <c r="A20" t="s">
        <v>5</v>
      </c>
      <c r="B20" s="3">
        <v>370185060000</v>
      </c>
      <c r="C20" s="48">
        <f t="shared" si="0"/>
        <v>0.20352262074993788</v>
      </c>
    </row>
    <row r="21" spans="1:3" x14ac:dyDescent="0.25">
      <c r="A21" t="s">
        <v>6</v>
      </c>
      <c r="B21" s="3">
        <v>199631800000</v>
      </c>
      <c r="C21" s="48">
        <f t="shared" si="0"/>
        <v>0.2833229117455548</v>
      </c>
    </row>
    <row r="22" spans="1:3" x14ac:dyDescent="0.25">
      <c r="A22" t="s">
        <v>7</v>
      </c>
      <c r="B22" s="3">
        <v>54927390000</v>
      </c>
      <c r="C22" s="48">
        <f t="shared" si="0"/>
        <v>0.19194245072668978</v>
      </c>
    </row>
    <row r="23" spans="1:3" x14ac:dyDescent="0.25">
      <c r="A23" t="s">
        <v>8</v>
      </c>
      <c r="B23" s="3">
        <v>58420380000</v>
      </c>
      <c r="C23" s="48">
        <f t="shared" si="0"/>
        <v>-4.0151064321290023E-2</v>
      </c>
    </row>
    <row r="24" spans="1:3" x14ac:dyDescent="0.25">
      <c r="A24" t="s">
        <v>10</v>
      </c>
      <c r="B24" s="3">
        <v>244073580000</v>
      </c>
      <c r="C24" s="48">
        <f t="shared" si="0"/>
        <v>0.34288212488185932</v>
      </c>
    </row>
    <row r="27" spans="1:3" ht="23.25" x14ac:dyDescent="0.35">
      <c r="A27" s="1">
        <v>2008</v>
      </c>
    </row>
    <row r="28" spans="1:3" x14ac:dyDescent="0.25">
      <c r="A28" s="2" t="s">
        <v>161</v>
      </c>
      <c r="B28" s="2" t="s">
        <v>157</v>
      </c>
    </row>
    <row r="29" spans="1:3" x14ac:dyDescent="0.25">
      <c r="A29" t="s">
        <v>1</v>
      </c>
      <c r="B29" s="3">
        <v>34654620000</v>
      </c>
      <c r="C29" s="48">
        <f t="shared" ref="C29:C37" si="1">((100/B16)*B29-100)/100</f>
        <v>0.23776976836967975</v>
      </c>
    </row>
    <row r="30" spans="1:3" x14ac:dyDescent="0.25">
      <c r="A30" t="s">
        <v>2</v>
      </c>
      <c r="B30" s="3">
        <v>145739930000</v>
      </c>
      <c r="C30" s="48">
        <f t="shared" si="1"/>
        <v>0.3371825749630929</v>
      </c>
    </row>
    <row r="31" spans="1:3" x14ac:dyDescent="0.25">
      <c r="A31" t="s">
        <v>3</v>
      </c>
      <c r="B31" s="3">
        <v>31979370000</v>
      </c>
      <c r="C31" s="48">
        <f t="shared" si="1"/>
        <v>0.46081352197293202</v>
      </c>
    </row>
    <row r="32" spans="1:3" x14ac:dyDescent="0.25">
      <c r="A32" t="s">
        <v>4</v>
      </c>
      <c r="B32" s="3">
        <v>768741090000</v>
      </c>
      <c r="C32" s="48">
        <f t="shared" si="1"/>
        <v>0.2511269061169854</v>
      </c>
    </row>
    <row r="33" spans="1:3" x14ac:dyDescent="0.25">
      <c r="A33" t="s">
        <v>5</v>
      </c>
      <c r="B33" s="3">
        <v>419390290000</v>
      </c>
      <c r="C33" s="48">
        <f t="shared" si="1"/>
        <v>0.13292062624029186</v>
      </c>
    </row>
    <row r="34" spans="1:3" x14ac:dyDescent="0.25">
      <c r="A34" t="s">
        <v>6</v>
      </c>
      <c r="B34" s="3">
        <v>215061710000</v>
      </c>
      <c r="C34" s="48">
        <f t="shared" si="1"/>
        <v>7.7291844285329175E-2</v>
      </c>
    </row>
    <row r="35" spans="1:3" x14ac:dyDescent="0.25">
      <c r="A35" t="s">
        <v>7</v>
      </c>
      <c r="B35" s="3">
        <v>67406509999.999992</v>
      </c>
      <c r="C35" s="48">
        <f t="shared" si="1"/>
        <v>0.22719302701257049</v>
      </c>
    </row>
    <row r="36" spans="1:3" x14ac:dyDescent="0.25">
      <c r="A36" t="s">
        <v>8</v>
      </c>
      <c r="B36" s="3">
        <v>66905580000</v>
      </c>
      <c r="C36" s="48">
        <f t="shared" si="1"/>
        <v>0.14524383442901267</v>
      </c>
    </row>
    <row r="37" spans="1:3" x14ac:dyDescent="0.25">
      <c r="A37" t="s">
        <v>10</v>
      </c>
      <c r="B37" s="3">
        <v>249290630000</v>
      </c>
      <c r="C37" s="48">
        <f t="shared" si="1"/>
        <v>2.1374906698217871E-2</v>
      </c>
    </row>
    <row r="39" spans="1:3" ht="23.25" x14ac:dyDescent="0.35">
      <c r="A39" s="1">
        <v>2009</v>
      </c>
    </row>
    <row r="40" spans="1:3" x14ac:dyDescent="0.25">
      <c r="A40" s="2" t="s">
        <v>161</v>
      </c>
      <c r="B40" s="2" t="s">
        <v>157</v>
      </c>
    </row>
    <row r="41" spans="1:3" x14ac:dyDescent="0.25">
      <c r="A41" t="s">
        <v>1</v>
      </c>
      <c r="B41" s="3">
        <v>29716470000</v>
      </c>
      <c r="C41" s="48">
        <f t="shared" ref="C41:C49" si="2">((100/B29)*B41-100)/100</f>
        <v>-0.14249615202821445</v>
      </c>
    </row>
    <row r="42" spans="1:3" x14ac:dyDescent="0.25">
      <c r="A42" t="s">
        <v>2</v>
      </c>
      <c r="B42" s="3">
        <v>133491769999.99998</v>
      </c>
      <c r="C42" s="48">
        <f t="shared" si="2"/>
        <v>-8.4041209571049075E-2</v>
      </c>
    </row>
    <row r="43" spans="1:3" x14ac:dyDescent="0.25">
      <c r="A43" t="s">
        <v>3</v>
      </c>
      <c r="B43" s="3">
        <v>25783060000</v>
      </c>
      <c r="C43" s="48">
        <f t="shared" si="2"/>
        <v>-0.19375960189334562</v>
      </c>
    </row>
    <row r="44" spans="1:3" x14ac:dyDescent="0.25">
      <c r="A44" t="s">
        <v>4</v>
      </c>
      <c r="B44" s="3">
        <v>774921030000</v>
      </c>
      <c r="C44" s="48">
        <f t="shared" si="2"/>
        <v>8.0390395158920561E-3</v>
      </c>
    </row>
    <row r="45" spans="1:3" x14ac:dyDescent="0.25">
      <c r="A45" t="s">
        <v>5</v>
      </c>
      <c r="B45" s="3">
        <v>338960910000</v>
      </c>
      <c r="C45" s="48">
        <f t="shared" si="2"/>
        <v>-0.19177692454443815</v>
      </c>
    </row>
    <row r="46" spans="1:3" x14ac:dyDescent="0.25">
      <c r="A46" t="s">
        <v>6</v>
      </c>
      <c r="B46" s="3">
        <v>206898020000</v>
      </c>
      <c r="C46" s="48">
        <f t="shared" si="2"/>
        <v>-3.7959755830082431E-2</v>
      </c>
    </row>
    <row r="47" spans="1:3" x14ac:dyDescent="0.25">
      <c r="A47" t="s">
        <v>7</v>
      </c>
      <c r="B47" s="3">
        <v>67798850000.000008</v>
      </c>
      <c r="C47" s="48">
        <f t="shared" si="2"/>
        <v>5.820506060913431E-3</v>
      </c>
    </row>
    <row r="48" spans="1:3" x14ac:dyDescent="0.25">
      <c r="A48" t="s">
        <v>8</v>
      </c>
      <c r="B48" s="3">
        <v>71731720000</v>
      </c>
      <c r="C48" s="48">
        <f t="shared" si="2"/>
        <v>7.2133594836185602E-2</v>
      </c>
    </row>
    <row r="49" spans="1:3" x14ac:dyDescent="0.25">
      <c r="A49" t="s">
        <v>10</v>
      </c>
      <c r="B49" s="3">
        <v>227040750000</v>
      </c>
      <c r="C49" s="48">
        <f t="shared" si="2"/>
        <v>-8.9252772958213461E-2</v>
      </c>
    </row>
    <row r="52" spans="1:3" ht="23.25" x14ac:dyDescent="0.35">
      <c r="A52" s="1">
        <v>2010</v>
      </c>
    </row>
    <row r="53" spans="1:3" x14ac:dyDescent="0.25">
      <c r="A53" s="2" t="s">
        <v>161</v>
      </c>
      <c r="B53" s="2" t="s">
        <v>157</v>
      </c>
    </row>
    <row r="54" spans="1:3" x14ac:dyDescent="0.25">
      <c r="A54" t="s">
        <v>1</v>
      </c>
      <c r="B54" s="3">
        <v>31683240000</v>
      </c>
      <c r="C54" s="48">
        <f t="shared" ref="C54:C62" si="3">((100/B41)*B54-100)/100</f>
        <v>6.6184509802140065E-2</v>
      </c>
    </row>
    <row r="55" spans="1:3" x14ac:dyDescent="0.25">
      <c r="A55" t="s">
        <v>2</v>
      </c>
      <c r="B55" s="3">
        <v>162547330000</v>
      </c>
      <c r="C55" s="48">
        <f t="shared" si="3"/>
        <v>0.21765806236594229</v>
      </c>
    </row>
    <row r="56" spans="1:3" x14ac:dyDescent="0.25">
      <c r="A56" t="s">
        <v>3</v>
      </c>
      <c r="B56" s="3">
        <v>26167520000</v>
      </c>
      <c r="C56" s="48">
        <f t="shared" si="3"/>
        <v>1.4911341012277006E-2</v>
      </c>
    </row>
    <row r="57" spans="1:3" x14ac:dyDescent="0.25">
      <c r="A57" t="s">
        <v>4</v>
      </c>
      <c r="B57" s="3">
        <v>887215420000</v>
      </c>
      <c r="C57" s="48">
        <f t="shared" si="3"/>
        <v>0.14491075303505455</v>
      </c>
    </row>
    <row r="58" spans="1:3" x14ac:dyDescent="0.25">
      <c r="A58" t="s">
        <v>5</v>
      </c>
      <c r="B58" s="3">
        <v>354471320000</v>
      </c>
      <c r="C58" s="48">
        <f t="shared" si="3"/>
        <v>4.5758698252255814E-2</v>
      </c>
    </row>
    <row r="59" spans="1:3" x14ac:dyDescent="0.25">
      <c r="A59" t="s">
        <v>6</v>
      </c>
      <c r="B59" s="3">
        <v>230630890000</v>
      </c>
      <c r="C59" s="48">
        <f t="shared" si="3"/>
        <v>0.11470805762181784</v>
      </c>
    </row>
    <row r="60" spans="1:3" x14ac:dyDescent="0.25">
      <c r="A60" t="s">
        <v>7</v>
      </c>
      <c r="B60" s="3">
        <v>92455690000</v>
      </c>
      <c r="C60" s="48">
        <f t="shared" si="3"/>
        <v>0.36367637504175948</v>
      </c>
    </row>
    <row r="61" spans="1:3" x14ac:dyDescent="0.25">
      <c r="A61" t="s">
        <v>8</v>
      </c>
      <c r="B61" s="3">
        <v>77693690000</v>
      </c>
      <c r="C61" s="48">
        <f t="shared" si="3"/>
        <v>8.3114833995337131E-2</v>
      </c>
    </row>
    <row r="62" spans="1:3" x14ac:dyDescent="0.25">
      <c r="A62" t="s">
        <v>10</v>
      </c>
      <c r="B62" s="3">
        <v>275968550000</v>
      </c>
      <c r="C62" s="48">
        <f t="shared" si="3"/>
        <v>0.21550228318044234</v>
      </c>
    </row>
    <row r="65" spans="1:3" ht="23.25" x14ac:dyDescent="0.35">
      <c r="A65" s="1">
        <v>2011</v>
      </c>
    </row>
    <row r="66" spans="1:3" x14ac:dyDescent="0.25">
      <c r="A66" s="2" t="s">
        <v>161</v>
      </c>
      <c r="B66" s="2" t="s">
        <v>157</v>
      </c>
    </row>
    <row r="67" spans="1:3" x14ac:dyDescent="0.25">
      <c r="A67" t="s">
        <v>1</v>
      </c>
      <c r="B67" s="3">
        <v>41370890000</v>
      </c>
      <c r="C67" s="48">
        <f t="shared" ref="C67:C75" si="4">((100/B54)*B67-100)/100</f>
        <v>0.30576576132996508</v>
      </c>
    </row>
    <row r="68" spans="1:3" x14ac:dyDescent="0.25">
      <c r="A68" t="s">
        <v>2</v>
      </c>
      <c r="B68" s="3">
        <v>209215220000</v>
      </c>
      <c r="C68" s="48">
        <f t="shared" si="4"/>
        <v>0.28710339320861178</v>
      </c>
    </row>
    <row r="69" spans="1:3" x14ac:dyDescent="0.25">
      <c r="A69" t="s">
        <v>3</v>
      </c>
      <c r="B69" s="3">
        <v>32556450000</v>
      </c>
      <c r="C69" s="48">
        <f t="shared" si="4"/>
        <v>0.24415496768513037</v>
      </c>
    </row>
    <row r="70" spans="1:3" x14ac:dyDescent="0.25">
      <c r="A70" t="s">
        <v>4</v>
      </c>
      <c r="B70" s="3">
        <v>1152662210000</v>
      </c>
      <c r="C70" s="48">
        <f t="shared" si="4"/>
        <v>0.29919091126707431</v>
      </c>
    </row>
    <row r="71" spans="1:3" x14ac:dyDescent="0.25">
      <c r="A71" t="s">
        <v>5</v>
      </c>
      <c r="B71" s="3">
        <v>413246520000</v>
      </c>
      <c r="C71" s="48">
        <f t="shared" si="4"/>
        <v>0.1658108757571698</v>
      </c>
    </row>
    <row r="72" spans="1:3" x14ac:dyDescent="0.25">
      <c r="A72" t="s">
        <v>6</v>
      </c>
      <c r="B72" s="3">
        <v>247363500000</v>
      </c>
      <c r="C72" s="48">
        <f t="shared" si="4"/>
        <v>7.2551469579812108E-2</v>
      </c>
    </row>
    <row r="73" spans="1:3" x14ac:dyDescent="0.25">
      <c r="A73" t="s">
        <v>7</v>
      </c>
      <c r="B73" s="3">
        <v>141115870000</v>
      </c>
      <c r="C73" s="48">
        <f t="shared" si="4"/>
        <v>0.52630811581201786</v>
      </c>
    </row>
    <row r="74" spans="1:3" x14ac:dyDescent="0.25">
      <c r="A74" t="s">
        <v>8</v>
      </c>
      <c r="B74" s="3">
        <v>81940130000</v>
      </c>
      <c r="C74" s="48">
        <f t="shared" si="4"/>
        <v>5.4656176067837806E-2</v>
      </c>
    </row>
    <row r="75" spans="1:3" x14ac:dyDescent="0.25">
      <c r="A75" t="s">
        <v>10</v>
      </c>
      <c r="B75" s="3">
        <v>304088930000</v>
      </c>
      <c r="C75" s="48">
        <f t="shared" si="4"/>
        <v>0.101897045877148</v>
      </c>
    </row>
    <row r="78" spans="1:3" ht="23.25" x14ac:dyDescent="0.35">
      <c r="A78" s="1">
        <v>2012</v>
      </c>
    </row>
    <row r="79" spans="1:3" x14ac:dyDescent="0.25">
      <c r="A79" s="2" t="s">
        <v>161</v>
      </c>
      <c r="B79" s="2" t="s">
        <v>157</v>
      </c>
    </row>
    <row r="80" spans="1:3" x14ac:dyDescent="0.25">
      <c r="A80" t="s">
        <v>1</v>
      </c>
      <c r="B80" s="3">
        <v>42626950000</v>
      </c>
      <c r="C80" s="48">
        <f t="shared" ref="C80:C88" si="5">((100/B67)*B80-100)/100</f>
        <v>3.0360961535997859E-2</v>
      </c>
    </row>
    <row r="81" spans="1:3" x14ac:dyDescent="0.25">
      <c r="A81" t="s">
        <v>2</v>
      </c>
      <c r="B81" s="3">
        <v>202260950000</v>
      </c>
      <c r="C81" s="48">
        <f t="shared" si="5"/>
        <v>-3.3239790107048604E-2</v>
      </c>
    </row>
    <row r="82" spans="1:3" x14ac:dyDescent="0.25">
      <c r="A82" t="s">
        <v>3</v>
      </c>
      <c r="B82" s="3">
        <v>37272460000</v>
      </c>
      <c r="C82" s="48">
        <f t="shared" si="5"/>
        <v>0.14485639558367083</v>
      </c>
    </row>
    <row r="83" spans="1:3" x14ac:dyDescent="0.25">
      <c r="A83" t="s">
        <v>4</v>
      </c>
      <c r="B83" s="3">
        <v>1229716840000</v>
      </c>
      <c r="C83" s="48">
        <f t="shared" si="5"/>
        <v>6.6849272346666169E-2</v>
      </c>
    </row>
    <row r="84" spans="1:3" x14ac:dyDescent="0.25">
      <c r="A84" t="s">
        <v>5</v>
      </c>
      <c r="B84" s="3">
        <v>387688440000</v>
      </c>
      <c r="C84" s="48">
        <f t="shared" si="5"/>
        <v>-6.1847054392617624E-2</v>
      </c>
    </row>
    <row r="85" spans="1:3" x14ac:dyDescent="0.25">
      <c r="A85" t="s">
        <v>6</v>
      </c>
      <c r="B85" s="3">
        <v>238672350000</v>
      </c>
      <c r="C85" s="48">
        <f t="shared" si="5"/>
        <v>-3.5135135135135158E-2</v>
      </c>
    </row>
    <row r="86" spans="1:3" x14ac:dyDescent="0.25">
      <c r="A86" t="s">
        <v>7</v>
      </c>
      <c r="B86" s="3">
        <v>144297800000</v>
      </c>
      <c r="C86" s="48">
        <f t="shared" si="5"/>
        <v>2.2548349806439206E-2</v>
      </c>
    </row>
    <row r="87" spans="1:3" x14ac:dyDescent="0.25">
      <c r="A87" t="s">
        <v>8</v>
      </c>
      <c r="B87" s="3">
        <v>86940080000</v>
      </c>
      <c r="C87" s="48">
        <f t="shared" si="5"/>
        <v>6.101955171416009E-2</v>
      </c>
    </row>
    <row r="88" spans="1:3" x14ac:dyDescent="0.25">
      <c r="A88" t="s">
        <v>10</v>
      </c>
      <c r="B88" s="3">
        <v>315680080000</v>
      </c>
      <c r="C88" s="48">
        <f t="shared" si="5"/>
        <v>3.8117632233439024E-2</v>
      </c>
    </row>
    <row r="91" spans="1:3" ht="23.25" x14ac:dyDescent="0.35">
      <c r="A91" s="1">
        <v>2013</v>
      </c>
    </row>
    <row r="92" spans="1:3" x14ac:dyDescent="0.25">
      <c r="A92" s="2" t="s">
        <v>161</v>
      </c>
      <c r="B92" s="2" t="s">
        <v>157</v>
      </c>
    </row>
    <row r="93" spans="1:3" x14ac:dyDescent="0.25">
      <c r="A93" t="s">
        <v>1</v>
      </c>
      <c r="B93" s="3">
        <v>41027430000</v>
      </c>
      <c r="C93" s="48">
        <f t="shared" ref="C93:C101" si="6">((100/B80)*B93-100)/100</f>
        <v>-3.752367926863158E-2</v>
      </c>
    </row>
    <row r="94" spans="1:3" x14ac:dyDescent="0.25">
      <c r="A94" t="s">
        <v>2</v>
      </c>
      <c r="B94" s="3">
        <v>219401560000</v>
      </c>
      <c r="C94" s="48">
        <f t="shared" si="6"/>
        <v>8.4745028637510128E-2</v>
      </c>
    </row>
    <row r="95" spans="1:3" x14ac:dyDescent="0.25">
      <c r="A95" t="s">
        <v>3</v>
      </c>
      <c r="B95" s="3">
        <v>41112280000</v>
      </c>
      <c r="C95" s="48">
        <f t="shared" si="6"/>
        <v>0.10302029970653934</v>
      </c>
    </row>
    <row r="96" spans="1:3" x14ac:dyDescent="0.25">
      <c r="A96" t="s">
        <v>4</v>
      </c>
      <c r="B96" s="3">
        <v>1284599430000</v>
      </c>
      <c r="C96" s="48">
        <f t="shared" si="6"/>
        <v>4.4630266265199767E-2</v>
      </c>
    </row>
    <row r="97" spans="1:3" x14ac:dyDescent="0.25">
      <c r="A97" t="s">
        <v>5</v>
      </c>
      <c r="B97" s="3">
        <v>413444430000</v>
      </c>
      <c r="C97" s="48">
        <f t="shared" si="6"/>
        <v>6.6434763956335699E-2</v>
      </c>
    </row>
    <row r="98" spans="1:3" x14ac:dyDescent="0.25">
      <c r="A98" t="s">
        <v>6</v>
      </c>
      <c r="B98" s="3">
        <v>256781770000</v>
      </c>
      <c r="C98" s="48">
        <f t="shared" si="6"/>
        <v>7.5875651285119541E-2</v>
      </c>
    </row>
    <row r="99" spans="1:3" x14ac:dyDescent="0.25">
      <c r="A99" t="s">
        <v>7</v>
      </c>
      <c r="B99" s="3">
        <v>126046840000</v>
      </c>
      <c r="C99" s="48">
        <f t="shared" si="6"/>
        <v>-0.12648120761369883</v>
      </c>
    </row>
    <row r="100" spans="1:3" x14ac:dyDescent="0.25">
      <c r="A100" t="s">
        <v>8</v>
      </c>
      <c r="B100" s="3">
        <v>71147430000</v>
      </c>
      <c r="C100" s="48">
        <f t="shared" si="6"/>
        <v>-0.18164982134822055</v>
      </c>
    </row>
    <row r="101" spans="1:3" x14ac:dyDescent="0.25">
      <c r="A101" t="s">
        <v>10</v>
      </c>
      <c r="B101" s="3">
        <v>311084290000</v>
      </c>
      <c r="C101" s="48">
        <f t="shared" si="6"/>
        <v>-1.455837821632585E-2</v>
      </c>
    </row>
    <row r="104" spans="1:3" ht="23.25" x14ac:dyDescent="0.35">
      <c r="A104" s="1" t="s">
        <v>158</v>
      </c>
    </row>
    <row r="105" spans="1:3" x14ac:dyDescent="0.25">
      <c r="A105" s="2" t="s">
        <v>161</v>
      </c>
      <c r="B105" s="2"/>
      <c r="C105" t="s">
        <v>159</v>
      </c>
    </row>
    <row r="106" spans="1:3" x14ac:dyDescent="0.25">
      <c r="A106" t="s">
        <v>1</v>
      </c>
      <c r="B106" s="3"/>
      <c r="C106" s="49">
        <f t="shared" ref="C106:C114" si="7">AVERAGE(C16,C29,C41,C54,C67,C80,C93)</f>
        <v>0.10537515038788767</v>
      </c>
    </row>
    <row r="107" spans="1:3" x14ac:dyDescent="0.25">
      <c r="A107" t="s">
        <v>2</v>
      </c>
      <c r="B107" s="3"/>
      <c r="C107" s="49">
        <f t="shared" si="7"/>
        <v>0.17459971134567723</v>
      </c>
    </row>
    <row r="108" spans="1:3" x14ac:dyDescent="0.25">
      <c r="A108" t="s">
        <v>3</v>
      </c>
      <c r="B108" s="3"/>
      <c r="C108" s="49">
        <f t="shared" si="7"/>
        <v>0.15044127063383037</v>
      </c>
    </row>
    <row r="109" spans="1:3" x14ac:dyDescent="0.25">
      <c r="A109" t="s">
        <v>4</v>
      </c>
      <c r="B109" s="3"/>
      <c r="C109" s="49">
        <f t="shared" si="7"/>
        <v>0.14459424409584945</v>
      </c>
    </row>
    <row r="110" spans="1:3" x14ac:dyDescent="0.25">
      <c r="A110" t="s">
        <v>5</v>
      </c>
      <c r="B110" s="3"/>
      <c r="C110" s="49">
        <f t="shared" si="7"/>
        <v>5.1546229431276472E-2</v>
      </c>
    </row>
    <row r="111" spans="1:3" x14ac:dyDescent="0.25">
      <c r="A111" t="s">
        <v>6</v>
      </c>
      <c r="B111" s="3"/>
      <c r="C111" s="49">
        <f t="shared" si="7"/>
        <v>7.8665006221773706E-2</v>
      </c>
    </row>
    <row r="112" spans="1:3" x14ac:dyDescent="0.25">
      <c r="A112" t="s">
        <v>7</v>
      </c>
      <c r="B112" s="3"/>
      <c r="C112" s="49">
        <f t="shared" si="7"/>
        <v>0.17300108812095596</v>
      </c>
    </row>
    <row r="113" spans="1:3" x14ac:dyDescent="0.25">
      <c r="A113" t="s">
        <v>8</v>
      </c>
      <c r="B113" s="3"/>
      <c r="C113" s="49">
        <f t="shared" si="7"/>
        <v>2.7766729339003243E-2</v>
      </c>
    </row>
    <row r="114" spans="1:3" x14ac:dyDescent="0.25">
      <c r="A114" t="s">
        <v>10</v>
      </c>
      <c r="B114" s="3"/>
      <c r="C114" s="49">
        <f t="shared" si="7"/>
        <v>8.799469167093818E-2</v>
      </c>
    </row>
  </sheetData>
  <customSheetViews>
    <customSheetView guid="{821D1691-1FA5-412F-8FF4-9E35B3587D16}">
      <selection activeCell="C54" sqref="C54:C62"/>
      <pageMargins left="0.7" right="0.7" top="0.75" bottom="0.75" header="0.3" footer="0.3"/>
    </customSheetView>
  </customSheetViews>
  <pageMargins left="0.7" right="0.7" top="0.75" bottom="0.75" header="0.3" footer="0.3"/>
  <pageSetup paperSize="9"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7"/>
  <sheetViews>
    <sheetView topLeftCell="A16" workbookViewId="0">
      <selection activeCell="E37" sqref="E37"/>
    </sheetView>
  </sheetViews>
  <sheetFormatPr defaultRowHeight="15" x14ac:dyDescent="0.25"/>
  <cols>
    <col min="1" max="1" width="23.28515625" bestFit="1" customWidth="1"/>
    <col min="2" max="7" width="19" bestFit="1" customWidth="1"/>
    <col min="8" max="10" width="18" bestFit="1" customWidth="1"/>
  </cols>
  <sheetData>
    <row r="1" spans="1:10" ht="23.45" x14ac:dyDescent="0.8">
      <c r="A1" s="1" t="s">
        <v>188</v>
      </c>
      <c r="B1" s="1">
        <v>2006</v>
      </c>
      <c r="C1" s="1">
        <v>2007</v>
      </c>
      <c r="D1" s="1">
        <v>2008</v>
      </c>
      <c r="E1" s="1">
        <v>2009</v>
      </c>
      <c r="F1" s="1">
        <v>2010</v>
      </c>
      <c r="G1" s="1">
        <v>2011</v>
      </c>
      <c r="H1" s="1">
        <v>2012</v>
      </c>
      <c r="I1" s="1">
        <v>2013</v>
      </c>
      <c r="J1" s="1">
        <v>2014</v>
      </c>
    </row>
    <row r="2" spans="1:10" ht="14.45" x14ac:dyDescent="0.5">
      <c r="A2" t="s">
        <v>1</v>
      </c>
      <c r="B2" s="3">
        <v>10616912</v>
      </c>
      <c r="C2" s="3">
        <v>3635211</v>
      </c>
      <c r="D2" s="3">
        <v>124990065</v>
      </c>
      <c r="E2" s="3">
        <v>129880559</v>
      </c>
      <c r="F2" s="3">
        <v>56828394</v>
      </c>
      <c r="G2" s="3">
        <v>90330986</v>
      </c>
      <c r="H2" s="3">
        <v>260301069</v>
      </c>
      <c r="I2" s="3">
        <v>277118433</v>
      </c>
      <c r="J2" s="3">
        <v>203951985</v>
      </c>
    </row>
    <row r="3" spans="1:10" ht="14.45" x14ac:dyDescent="0.5">
      <c r="A3" t="s">
        <v>2</v>
      </c>
      <c r="B3" s="3">
        <v>1650548500</v>
      </c>
      <c r="C3" s="3">
        <v>1906229000</v>
      </c>
      <c r="D3" s="3">
        <v>2217053700</v>
      </c>
      <c r="E3" s="3">
        <v>2077825800</v>
      </c>
      <c r="F3" s="3">
        <v>3186737400</v>
      </c>
      <c r="G3" s="3">
        <v>3428228800</v>
      </c>
      <c r="H3" s="3">
        <v>2600889200</v>
      </c>
      <c r="I3" s="3">
        <v>2430165300</v>
      </c>
      <c r="J3" s="3">
        <v>2669461700</v>
      </c>
    </row>
    <row r="4" spans="1:10" ht="14.45" x14ac:dyDescent="0.5">
      <c r="A4" t="s">
        <v>3</v>
      </c>
      <c r="B4" s="3">
        <v>1419189140</v>
      </c>
      <c r="C4" s="3">
        <v>2050863321</v>
      </c>
      <c r="D4" s="3">
        <v>1600041012</v>
      </c>
      <c r="E4" s="3">
        <v>1381443055</v>
      </c>
      <c r="F4" s="3">
        <v>2476209389</v>
      </c>
      <c r="G4" s="3">
        <v>2502570702</v>
      </c>
      <c r="H4" s="3">
        <v>2082051292</v>
      </c>
      <c r="I4" s="3"/>
      <c r="J4" s="3"/>
    </row>
    <row r="5" spans="1:10" ht="14.45" x14ac:dyDescent="0.5">
      <c r="A5" t="s">
        <v>4</v>
      </c>
      <c r="B5" s="3">
        <v>2009930999</v>
      </c>
      <c r="C5" s="3">
        <v>5453338325</v>
      </c>
      <c r="D5" s="3">
        <v>13856225058</v>
      </c>
      <c r="E5" s="3">
        <v>16418580676</v>
      </c>
      <c r="F5" s="3">
        <v>18582798362</v>
      </c>
      <c r="G5" s="3"/>
      <c r="H5" s="3"/>
      <c r="I5" s="3"/>
      <c r="J5" s="3"/>
    </row>
    <row r="6" spans="1:10" ht="14.45" x14ac:dyDescent="0.5">
      <c r="A6" t="s">
        <v>5</v>
      </c>
      <c r="B6" s="3">
        <v>1699037957</v>
      </c>
      <c r="C6" s="3">
        <v>2521399256.4499998</v>
      </c>
      <c r="D6" s="3">
        <v>3392293707.3499999</v>
      </c>
      <c r="E6" s="3">
        <v>1482182128.3399999</v>
      </c>
      <c r="F6" s="3">
        <v>1828002463.1300001</v>
      </c>
      <c r="G6" s="3">
        <v>1898103469</v>
      </c>
      <c r="H6" s="3">
        <v>1268139714</v>
      </c>
      <c r="I6" s="3">
        <v>2322128974</v>
      </c>
      <c r="J6" s="3"/>
    </row>
    <row r="7" spans="1:10" ht="14.45" x14ac:dyDescent="0.5">
      <c r="A7" t="s">
        <v>6</v>
      </c>
      <c r="B7" s="3">
        <v>1790000</v>
      </c>
      <c r="C7" s="3">
        <v>0</v>
      </c>
      <c r="D7" s="3">
        <v>432820000</v>
      </c>
      <c r="E7" s="3">
        <v>1301260000</v>
      </c>
      <c r="F7" s="3">
        <v>1730480000</v>
      </c>
      <c r="G7" s="3">
        <v>2282170000</v>
      </c>
      <c r="H7" s="3"/>
      <c r="I7" s="3"/>
      <c r="J7" s="3"/>
    </row>
    <row r="8" spans="1:10" ht="14.45" x14ac:dyDescent="0.5">
      <c r="A8" t="s">
        <v>7</v>
      </c>
      <c r="B8" s="3">
        <v>0</v>
      </c>
      <c r="C8" s="3">
        <v>0</v>
      </c>
      <c r="D8" s="3">
        <v>0</v>
      </c>
      <c r="E8" s="3">
        <v>0</v>
      </c>
      <c r="F8" s="3">
        <v>0</v>
      </c>
      <c r="G8" s="3">
        <v>0</v>
      </c>
      <c r="H8" s="3"/>
      <c r="I8" s="3"/>
      <c r="J8" s="3"/>
    </row>
    <row r="9" spans="1:10" ht="14.45" x14ac:dyDescent="0.5">
      <c r="A9" t="s">
        <v>8</v>
      </c>
      <c r="B9" s="3">
        <v>313967381</v>
      </c>
      <c r="C9" s="3">
        <v>841674066</v>
      </c>
      <c r="D9" s="3">
        <v>1364861022</v>
      </c>
      <c r="E9" s="3">
        <v>1689441509</v>
      </c>
      <c r="F9" s="3">
        <v>929114165</v>
      </c>
      <c r="G9" s="3">
        <v>2144901462</v>
      </c>
      <c r="H9" s="3">
        <v>2328169685</v>
      </c>
      <c r="I9" s="3"/>
      <c r="J9" s="3"/>
    </row>
    <row r="10" spans="1:10" ht="15" customHeight="1" x14ac:dyDescent="0.5">
      <c r="A10" t="s">
        <v>10</v>
      </c>
      <c r="B10" s="3">
        <v>3601195000</v>
      </c>
      <c r="C10" s="3">
        <v>2259696000</v>
      </c>
      <c r="D10" s="3">
        <v>9381513000</v>
      </c>
      <c r="E10" s="3">
        <v>7856782000</v>
      </c>
      <c r="F10" s="3">
        <v>5664757000</v>
      </c>
      <c r="G10" s="3">
        <v>9714367000</v>
      </c>
      <c r="H10" s="3">
        <v>5271830000</v>
      </c>
      <c r="I10" s="3"/>
      <c r="J10" s="3"/>
    </row>
    <row r="11" spans="1:10" ht="14.45" x14ac:dyDescent="0.5">
      <c r="A11">
        <f>'Custom Member Setup'!D3</f>
        <v>0</v>
      </c>
      <c r="B11" s="3">
        <f>'Custom Member Calcs'!B7</f>
        <v>0</v>
      </c>
      <c r="C11" s="3">
        <f>'Custom Member Calcs'!C7</f>
        <v>0</v>
      </c>
      <c r="D11" s="3">
        <f>'Custom Member Calcs'!D7</f>
        <v>0</v>
      </c>
      <c r="E11" s="3">
        <f>'Custom Member Calcs'!E7</f>
        <v>0</v>
      </c>
      <c r="F11" s="3">
        <f>'Custom Member Calcs'!F7</f>
        <v>0</v>
      </c>
      <c r="G11" s="3">
        <f>'Custom Member Calcs'!G7</f>
        <v>0</v>
      </c>
      <c r="H11" s="3">
        <f>'Custom Member Calcs'!H7</f>
        <v>0</v>
      </c>
      <c r="I11" s="3">
        <f>'Custom Member Calcs'!I7</f>
        <v>0</v>
      </c>
      <c r="J11" s="3">
        <f>'Custom Member Calcs'!J7</f>
        <v>0</v>
      </c>
    </row>
    <row r="13" spans="1:10" ht="23.45" x14ac:dyDescent="0.8">
      <c r="A13" s="1" t="s">
        <v>189</v>
      </c>
      <c r="B13" s="1">
        <v>2006</v>
      </c>
      <c r="C13" s="1">
        <v>2007</v>
      </c>
      <c r="D13" s="1">
        <v>2008</v>
      </c>
      <c r="E13" s="1">
        <v>2009</v>
      </c>
      <c r="F13" s="1">
        <v>2010</v>
      </c>
      <c r="G13" s="1">
        <v>2011</v>
      </c>
      <c r="H13" s="1">
        <v>2012</v>
      </c>
      <c r="I13" s="1">
        <v>2013</v>
      </c>
      <c r="J13" s="1">
        <v>2014</v>
      </c>
    </row>
    <row r="14" spans="1:10" ht="14.45" x14ac:dyDescent="0.5">
      <c r="A14" t="s">
        <v>1</v>
      </c>
      <c r="B14" s="51">
        <v>156014232.80053294</v>
      </c>
      <c r="C14" s="51">
        <v>173027666.05188915</v>
      </c>
      <c r="D14" s="51">
        <v>174185682.1108681</v>
      </c>
      <c r="E14" s="51">
        <v>0</v>
      </c>
      <c r="F14" s="51">
        <v>0</v>
      </c>
      <c r="G14" s="51">
        <v>0</v>
      </c>
      <c r="H14" s="51">
        <v>0</v>
      </c>
      <c r="I14" s="51">
        <v>0</v>
      </c>
      <c r="J14" s="51">
        <v>0</v>
      </c>
    </row>
    <row r="15" spans="1:10" ht="14.45" x14ac:dyDescent="0.5">
      <c r="A15" t="s">
        <v>2</v>
      </c>
      <c r="B15" s="51">
        <v>0</v>
      </c>
      <c r="C15" s="51">
        <v>341807900</v>
      </c>
      <c r="D15" s="51">
        <v>520413300</v>
      </c>
      <c r="E15" s="51">
        <v>292913300</v>
      </c>
      <c r="F15" s="51">
        <v>269018900</v>
      </c>
      <c r="G15" s="51">
        <v>213698500</v>
      </c>
      <c r="H15" s="51">
        <v>7695300</v>
      </c>
      <c r="I15" s="51">
        <v>0</v>
      </c>
      <c r="J15" s="51">
        <v>0</v>
      </c>
    </row>
    <row r="16" spans="1:10" ht="14.45" x14ac:dyDescent="0.5">
      <c r="A16" t="s">
        <v>3</v>
      </c>
      <c r="B16" s="51">
        <v>520163179.22377497</v>
      </c>
      <c r="C16" s="51">
        <v>772455293.75469136</v>
      </c>
      <c r="D16" s="51">
        <v>1527386088.1676052</v>
      </c>
      <c r="E16" s="51">
        <v>1188707337.1541297</v>
      </c>
      <c r="F16" s="51">
        <v>465862801.54854691</v>
      </c>
      <c r="G16" s="51">
        <v>513569663.13412726</v>
      </c>
      <c r="H16" s="51">
        <v>810181525.52569222</v>
      </c>
      <c r="I16" s="51"/>
      <c r="J16" s="51"/>
    </row>
    <row r="17" spans="1:10" ht="14.45" x14ac:dyDescent="0.5">
      <c r="A17" t="s">
        <v>4</v>
      </c>
      <c r="B17" s="51">
        <v>0</v>
      </c>
      <c r="C17" s="51">
        <v>0</v>
      </c>
      <c r="D17" s="51">
        <v>0</v>
      </c>
      <c r="E17" s="51">
        <v>0</v>
      </c>
      <c r="F17" s="51">
        <v>0</v>
      </c>
      <c r="G17" s="51">
        <v>0</v>
      </c>
      <c r="H17" s="51">
        <v>0</v>
      </c>
      <c r="I17" s="51">
        <v>0</v>
      </c>
      <c r="J17" s="51">
        <v>0</v>
      </c>
    </row>
    <row r="18" spans="1:10" x14ac:dyDescent="0.25">
      <c r="A18" t="s">
        <v>5</v>
      </c>
      <c r="B18" s="51">
        <v>34986470405.370712</v>
      </c>
      <c r="C18" s="51">
        <v>35497687161.74218</v>
      </c>
      <c r="D18" s="51">
        <v>17543252090.665554</v>
      </c>
      <c r="E18" s="51">
        <v>16094153820.109533</v>
      </c>
      <c r="F18" s="51">
        <v>11427786280.64514</v>
      </c>
      <c r="G18" s="51">
        <v>8859360468.6638737</v>
      </c>
      <c r="H18" s="51">
        <v>8673756963.326088</v>
      </c>
      <c r="I18" s="51">
        <v>7693609117.1250019</v>
      </c>
      <c r="J18" s="51"/>
    </row>
    <row r="19" spans="1:10" x14ac:dyDescent="0.25">
      <c r="A19" t="s">
        <v>6</v>
      </c>
      <c r="B19" s="51">
        <v>0</v>
      </c>
      <c r="C19" s="51">
        <v>0</v>
      </c>
      <c r="D19" s="51">
        <v>0</v>
      </c>
      <c r="E19" s="51">
        <v>0</v>
      </c>
      <c r="F19" s="51">
        <v>0</v>
      </c>
      <c r="G19" s="51">
        <v>0</v>
      </c>
      <c r="H19" s="51">
        <v>0</v>
      </c>
      <c r="I19" s="51">
        <v>0</v>
      </c>
      <c r="J19" s="51">
        <v>0</v>
      </c>
    </row>
    <row r="20" spans="1:10" x14ac:dyDescent="0.25">
      <c r="A20" t="s">
        <v>7</v>
      </c>
      <c r="B20" s="51">
        <v>0</v>
      </c>
      <c r="C20" s="51">
        <v>0</v>
      </c>
      <c r="D20" s="51">
        <v>0</v>
      </c>
      <c r="E20" s="51">
        <v>0</v>
      </c>
      <c r="F20" s="51">
        <v>0</v>
      </c>
      <c r="G20" s="51">
        <v>0</v>
      </c>
      <c r="H20" s="51">
        <v>0</v>
      </c>
      <c r="I20" s="51">
        <v>0</v>
      </c>
      <c r="J20" s="51">
        <v>0</v>
      </c>
    </row>
    <row r="21" spans="1:10" x14ac:dyDescent="0.25">
      <c r="A21" t="s">
        <v>8</v>
      </c>
      <c r="B21" s="51">
        <v>4769632126.8195124</v>
      </c>
      <c r="C21" s="51">
        <v>3345032582.5890331</v>
      </c>
      <c r="D21" s="51">
        <v>4642311606.2564144</v>
      </c>
      <c r="E21" s="51">
        <v>5512400717.8806648</v>
      </c>
      <c r="F21" s="51">
        <v>5851593468.8730984</v>
      </c>
      <c r="G21" s="51">
        <v>6041382405.8635674</v>
      </c>
      <c r="H21" s="51">
        <v>6446669036.9846029</v>
      </c>
      <c r="I21" s="51"/>
      <c r="J21" s="51"/>
    </row>
    <row r="22" spans="1:10" x14ac:dyDescent="0.25">
      <c r="A22" t="s">
        <v>10</v>
      </c>
      <c r="B22" s="51">
        <v>7742017000</v>
      </c>
      <c r="C22" s="51">
        <v>6259888000</v>
      </c>
      <c r="D22" s="51">
        <v>6254892000</v>
      </c>
      <c r="E22" s="51">
        <v>4267032000</v>
      </c>
      <c r="F22" s="51">
        <v>4119491000</v>
      </c>
      <c r="G22" s="51">
        <v>4653986000</v>
      </c>
      <c r="H22" s="51">
        <v>6863273000</v>
      </c>
      <c r="I22" s="51"/>
      <c r="J22" s="51"/>
    </row>
    <row r="23" spans="1:10" x14ac:dyDescent="0.25">
      <c r="A23">
        <f>'Custom Member Setup'!D3</f>
        <v>0</v>
      </c>
      <c r="B23" s="51">
        <f>'Custom Member Calcs'!B10</f>
        <v>0</v>
      </c>
      <c r="C23" s="51">
        <f>'Custom Member Calcs'!C10</f>
        <v>0</v>
      </c>
      <c r="D23" s="51">
        <f>'Custom Member Calcs'!D10</f>
        <v>0</v>
      </c>
      <c r="E23" s="51">
        <f>'Custom Member Calcs'!E10</f>
        <v>0</v>
      </c>
      <c r="F23" s="51">
        <f>'Custom Member Calcs'!F10</f>
        <v>0</v>
      </c>
      <c r="G23" s="51">
        <f>'Custom Member Calcs'!G10</f>
        <v>0</v>
      </c>
      <c r="H23" s="51">
        <f>'Custom Member Calcs'!H10</f>
        <v>0</v>
      </c>
      <c r="I23" s="51">
        <f>'Custom Member Calcs'!I10</f>
        <v>0</v>
      </c>
      <c r="J23" s="51">
        <f>'Custom Member Calcs'!J10</f>
        <v>0</v>
      </c>
    </row>
    <row r="25" spans="1:10" ht="23.25" x14ac:dyDescent="0.35">
      <c r="A25" s="1" t="s">
        <v>190</v>
      </c>
      <c r="B25" s="1">
        <v>2006</v>
      </c>
      <c r="C25" s="1">
        <v>2007</v>
      </c>
      <c r="D25" s="1">
        <v>2008</v>
      </c>
      <c r="E25" s="1">
        <v>2009</v>
      </c>
      <c r="F25" s="1">
        <v>2010</v>
      </c>
      <c r="G25" s="1">
        <v>2011</v>
      </c>
      <c r="H25" s="1">
        <v>2012</v>
      </c>
      <c r="I25" s="1">
        <v>2013</v>
      </c>
      <c r="J25" s="1">
        <v>2014</v>
      </c>
    </row>
    <row r="26" spans="1:10" x14ac:dyDescent="0.25">
      <c r="A26" t="s">
        <v>1</v>
      </c>
      <c r="B26" s="51"/>
      <c r="C26" s="51"/>
      <c r="D26" s="51"/>
      <c r="E26" s="51"/>
      <c r="F26" s="51"/>
      <c r="G26" s="51"/>
      <c r="H26" s="51"/>
      <c r="I26" s="51"/>
      <c r="J26" s="51"/>
    </row>
    <row r="27" spans="1:10" x14ac:dyDescent="0.25">
      <c r="A27" t="s">
        <v>2</v>
      </c>
      <c r="B27" s="51"/>
      <c r="C27" s="51"/>
      <c r="D27" s="51"/>
      <c r="E27" s="51"/>
      <c r="F27" s="51"/>
      <c r="G27" s="51"/>
      <c r="H27" s="51"/>
      <c r="I27" s="51"/>
      <c r="J27" s="51"/>
    </row>
    <row r="28" spans="1:10" x14ac:dyDescent="0.25">
      <c r="A28" t="s">
        <v>3</v>
      </c>
      <c r="B28" s="51"/>
      <c r="C28" s="51"/>
      <c r="D28" s="51"/>
      <c r="E28" s="51"/>
      <c r="F28" s="51"/>
      <c r="G28" s="51"/>
      <c r="H28" s="51"/>
      <c r="I28" s="51"/>
      <c r="J28" s="51"/>
    </row>
    <row r="29" spans="1:10" x14ac:dyDescent="0.25">
      <c r="A29" t="s">
        <v>4</v>
      </c>
      <c r="B29" s="51"/>
      <c r="C29" s="51"/>
      <c r="D29" s="51"/>
      <c r="E29" s="51"/>
      <c r="F29" s="51"/>
      <c r="G29" s="51"/>
      <c r="H29" s="51"/>
      <c r="I29" s="51"/>
      <c r="J29" s="51"/>
    </row>
    <row r="30" spans="1:10" x14ac:dyDescent="0.25">
      <c r="A30" t="s">
        <v>5</v>
      </c>
      <c r="B30" s="51">
        <v>16547593384</v>
      </c>
      <c r="C30" s="51">
        <v>7593080322</v>
      </c>
      <c r="D30" s="51">
        <v>7335982470</v>
      </c>
      <c r="E30" s="51">
        <v>7296707710</v>
      </c>
      <c r="F30" s="51">
        <v>6941689074</v>
      </c>
      <c r="G30" s="51">
        <v>4281020444</v>
      </c>
      <c r="H30" s="51">
        <v>3769895593</v>
      </c>
      <c r="I30" s="51">
        <v>3592028993</v>
      </c>
      <c r="J30" s="51"/>
    </row>
    <row r="31" spans="1:10" x14ac:dyDescent="0.25">
      <c r="A31" t="s">
        <v>6</v>
      </c>
      <c r="B31" s="51"/>
      <c r="C31" s="51"/>
      <c r="D31" s="51"/>
      <c r="E31" s="51"/>
      <c r="F31" s="51"/>
      <c r="G31" s="51"/>
      <c r="H31" s="51"/>
      <c r="I31" s="51"/>
      <c r="J31" s="51"/>
    </row>
    <row r="32" spans="1:10" x14ac:dyDescent="0.25">
      <c r="A32" t="s">
        <v>7</v>
      </c>
      <c r="B32" s="51"/>
      <c r="C32" s="51"/>
      <c r="D32" s="51"/>
      <c r="E32" s="51"/>
      <c r="F32" s="51"/>
      <c r="G32" s="51"/>
      <c r="H32" s="51"/>
      <c r="I32" s="51"/>
      <c r="J32" s="51"/>
    </row>
    <row r="33" spans="1:10" x14ac:dyDescent="0.25">
      <c r="A33" t="s">
        <v>8</v>
      </c>
      <c r="B33" s="51">
        <v>585348761</v>
      </c>
      <c r="C33" s="51">
        <v>585348761</v>
      </c>
      <c r="D33" s="51">
        <v>289029393</v>
      </c>
      <c r="E33" s="51">
        <v>212766175</v>
      </c>
      <c r="F33" s="51">
        <v>3111923862</v>
      </c>
      <c r="G33" s="51">
        <v>1656490651</v>
      </c>
      <c r="H33" s="51">
        <v>1643164780</v>
      </c>
      <c r="I33" s="51"/>
      <c r="J33" s="51"/>
    </row>
    <row r="34" spans="1:10" x14ac:dyDescent="0.25">
      <c r="A34" t="s">
        <v>10</v>
      </c>
      <c r="B34" s="51"/>
      <c r="C34" s="51"/>
      <c r="D34" s="51"/>
      <c r="E34" s="51"/>
      <c r="F34" s="51"/>
      <c r="G34" s="51"/>
      <c r="H34" s="51"/>
      <c r="I34" s="51"/>
      <c r="J34" s="51"/>
    </row>
    <row r="35" spans="1:10" x14ac:dyDescent="0.25">
      <c r="A35">
        <f>'Custom Member Setup'!D3</f>
        <v>0</v>
      </c>
      <c r="B35" s="51">
        <f>'Custom Member Calcs'!B13</f>
        <v>0</v>
      </c>
      <c r="C35" s="51">
        <f>'Custom Member Calcs'!C13</f>
        <v>0</v>
      </c>
      <c r="D35" s="51">
        <f>'Custom Member Calcs'!D13</f>
        <v>0</v>
      </c>
      <c r="E35" s="51">
        <f>'Custom Member Calcs'!E13</f>
        <v>0</v>
      </c>
      <c r="F35" s="51">
        <f>'Custom Member Calcs'!F13</f>
        <v>0</v>
      </c>
      <c r="G35" s="51">
        <f>'Custom Member Calcs'!G13</f>
        <v>0</v>
      </c>
      <c r="H35" s="51">
        <f>'Custom Member Calcs'!H13</f>
        <v>0</v>
      </c>
      <c r="I35" s="51">
        <f>'Custom Member Calcs'!I13</f>
        <v>0</v>
      </c>
      <c r="J35" s="51">
        <f>'Custom Member Calcs'!J13</f>
        <v>0</v>
      </c>
    </row>
    <row r="37" spans="1:10" ht="23.25" x14ac:dyDescent="0.35">
      <c r="A37" s="1" t="s">
        <v>191</v>
      </c>
      <c r="B37" s="1">
        <v>2006</v>
      </c>
      <c r="C37" s="1">
        <v>2007</v>
      </c>
      <c r="D37" s="1">
        <v>2008</v>
      </c>
      <c r="E37" s="1">
        <v>2009</v>
      </c>
      <c r="F37" s="1">
        <v>2010</v>
      </c>
      <c r="G37" s="1">
        <v>2011</v>
      </c>
      <c r="H37" s="1">
        <v>2012</v>
      </c>
      <c r="I37" s="1">
        <v>2013</v>
      </c>
      <c r="J37" s="1">
        <v>2014</v>
      </c>
    </row>
    <row r="38" spans="1:10" x14ac:dyDescent="0.25">
      <c r="A38" t="s">
        <v>1</v>
      </c>
      <c r="B38" s="51">
        <v>0</v>
      </c>
      <c r="C38" s="51">
        <v>0</v>
      </c>
      <c r="D38" s="51">
        <v>0</v>
      </c>
      <c r="E38" s="51">
        <v>0</v>
      </c>
      <c r="F38" s="51">
        <v>0</v>
      </c>
      <c r="G38" s="51">
        <v>0</v>
      </c>
      <c r="H38" s="51">
        <v>0</v>
      </c>
      <c r="I38" s="51">
        <v>0</v>
      </c>
      <c r="J38" s="51">
        <v>0</v>
      </c>
    </row>
    <row r="39" spans="1:10" x14ac:dyDescent="0.25">
      <c r="A39" t="s">
        <v>2</v>
      </c>
      <c r="B39" s="51">
        <v>764738900</v>
      </c>
      <c r="C39" s="51">
        <v>642928900</v>
      </c>
      <c r="D39" s="51">
        <v>900113100</v>
      </c>
      <c r="E39" s="51">
        <v>870731300</v>
      </c>
      <c r="F39" s="51">
        <v>1651046200</v>
      </c>
      <c r="G39" s="51">
        <v>1739303700</v>
      </c>
      <c r="H39" s="51">
        <v>1039741100</v>
      </c>
      <c r="I39" s="51">
        <v>1069974700</v>
      </c>
      <c r="J39" s="51">
        <v>1875293300</v>
      </c>
    </row>
    <row r="40" spans="1:10" x14ac:dyDescent="0.25">
      <c r="A40" t="s">
        <v>3</v>
      </c>
      <c r="B40" s="51">
        <v>0</v>
      </c>
      <c r="C40" s="51">
        <v>0</v>
      </c>
      <c r="D40" s="51">
        <v>0</v>
      </c>
      <c r="E40" s="51">
        <v>0</v>
      </c>
      <c r="F40" s="51">
        <v>0</v>
      </c>
      <c r="G40" s="51">
        <v>0</v>
      </c>
      <c r="H40" s="51">
        <v>0</v>
      </c>
      <c r="I40" s="51">
        <v>0</v>
      </c>
      <c r="J40" s="51">
        <v>0</v>
      </c>
    </row>
    <row r="41" spans="1:10" x14ac:dyDescent="0.25">
      <c r="A41" t="s">
        <v>4</v>
      </c>
      <c r="B41" s="51">
        <v>0</v>
      </c>
      <c r="C41" s="51">
        <v>0</v>
      </c>
      <c r="D41" s="51">
        <v>0</v>
      </c>
      <c r="E41" s="51">
        <v>0</v>
      </c>
      <c r="F41" s="51">
        <v>0</v>
      </c>
      <c r="G41" s="51">
        <v>0</v>
      </c>
      <c r="H41" s="51">
        <v>0</v>
      </c>
      <c r="I41" s="51">
        <v>0</v>
      </c>
      <c r="J41" s="51">
        <v>0</v>
      </c>
    </row>
    <row r="42" spans="1:10" x14ac:dyDescent="0.25">
      <c r="A42" t="s">
        <v>5</v>
      </c>
      <c r="B42" s="51">
        <v>0</v>
      </c>
      <c r="C42" s="51">
        <v>0</v>
      </c>
      <c r="D42" s="51">
        <v>0</v>
      </c>
      <c r="E42" s="51">
        <v>0</v>
      </c>
      <c r="F42" s="51">
        <v>0</v>
      </c>
      <c r="G42" s="51">
        <v>0</v>
      </c>
      <c r="H42" s="51">
        <v>0</v>
      </c>
      <c r="I42" s="51">
        <v>0</v>
      </c>
      <c r="J42" s="51">
        <v>0</v>
      </c>
    </row>
    <row r="43" spans="1:10" x14ac:dyDescent="0.25">
      <c r="A43" t="s">
        <v>6</v>
      </c>
      <c r="B43" s="51">
        <v>12316220000</v>
      </c>
      <c r="C43" s="51">
        <v>15536060000</v>
      </c>
      <c r="D43" s="51">
        <v>22311560000</v>
      </c>
      <c r="E43" s="51">
        <v>31458670000</v>
      </c>
      <c r="F43" s="51">
        <v>29857270000</v>
      </c>
      <c r="G43" s="51">
        <v>31610270000</v>
      </c>
      <c r="H43" s="51"/>
      <c r="I43" s="51"/>
      <c r="J43" s="51"/>
    </row>
    <row r="44" spans="1:10" x14ac:dyDescent="0.25">
      <c r="A44" t="s">
        <v>7</v>
      </c>
      <c r="B44" s="51">
        <v>359939515</v>
      </c>
      <c r="C44" s="51">
        <v>737282573</v>
      </c>
      <c r="D44" s="51">
        <v>1666838077</v>
      </c>
      <c r="E44" s="51">
        <v>1917817119</v>
      </c>
      <c r="F44" s="51">
        <v>2264688519</v>
      </c>
      <c r="G44" s="51">
        <v>1874479786</v>
      </c>
      <c r="H44" s="51"/>
      <c r="I44" s="51"/>
      <c r="J44" s="51"/>
    </row>
    <row r="45" spans="1:10" x14ac:dyDescent="0.25">
      <c r="A45" t="s">
        <v>8</v>
      </c>
      <c r="B45" s="51">
        <v>0</v>
      </c>
      <c r="C45" s="51">
        <v>0</v>
      </c>
      <c r="D45" s="51">
        <v>0</v>
      </c>
      <c r="E45" s="51">
        <v>0</v>
      </c>
      <c r="F45" s="51">
        <v>0</v>
      </c>
      <c r="G45" s="51">
        <v>0</v>
      </c>
      <c r="H45" s="51">
        <v>0</v>
      </c>
      <c r="I45" s="51">
        <v>0</v>
      </c>
      <c r="J45" s="51">
        <v>0</v>
      </c>
    </row>
    <row r="46" spans="1:10" x14ac:dyDescent="0.25">
      <c r="A46" t="s">
        <v>10</v>
      </c>
      <c r="B46" s="51">
        <v>0</v>
      </c>
      <c r="C46" s="51">
        <v>0</v>
      </c>
      <c r="D46" s="51">
        <v>0</v>
      </c>
      <c r="E46" s="51">
        <v>0</v>
      </c>
      <c r="F46" s="51">
        <v>0</v>
      </c>
      <c r="G46" s="51">
        <v>0</v>
      </c>
      <c r="H46" s="51">
        <v>0</v>
      </c>
      <c r="I46" s="51">
        <v>0</v>
      </c>
      <c r="J46" s="51">
        <v>0</v>
      </c>
    </row>
    <row r="47" spans="1:10" x14ac:dyDescent="0.25">
      <c r="A47">
        <f>'Custom Member Setup'!D3</f>
        <v>0</v>
      </c>
      <c r="B47" s="51">
        <f>'Custom Member Calcs'!B16</f>
        <v>0</v>
      </c>
      <c r="C47" s="51">
        <f>'Custom Member Calcs'!C16</f>
        <v>0</v>
      </c>
      <c r="D47" s="51">
        <f>'Custom Member Calcs'!D16</f>
        <v>0</v>
      </c>
      <c r="E47" s="51">
        <f>'Custom Member Calcs'!E16</f>
        <v>0</v>
      </c>
      <c r="F47" s="51">
        <f>'Custom Member Calcs'!F16</f>
        <v>0</v>
      </c>
      <c r="G47" s="51">
        <f>'Custom Member Calcs'!G16</f>
        <v>0</v>
      </c>
      <c r="H47" s="51">
        <f>'Custom Member Calcs'!H16</f>
        <v>0</v>
      </c>
      <c r="I47" s="51">
        <f>'Custom Member Calcs'!I16</f>
        <v>0</v>
      </c>
      <c r="J47" s="51">
        <f>'Custom Member Calcs'!J16</f>
        <v>0</v>
      </c>
    </row>
  </sheetData>
  <pageMargins left="0.7" right="0.7" top="0.75" bottom="0.75" header="0.3" footer="0.3"/>
  <pageSetup paperSize="9"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08"/>
  <sheetViews>
    <sheetView workbookViewId="0">
      <selection activeCell="C8" sqref="C8"/>
    </sheetView>
  </sheetViews>
  <sheetFormatPr defaultRowHeight="15" x14ac:dyDescent="0.25"/>
  <cols>
    <col min="1" max="1" width="23.28515625" bestFit="1" customWidth="1"/>
    <col min="2" max="6" width="19" bestFit="1" customWidth="1"/>
  </cols>
  <sheetData>
    <row r="1" spans="1:6" ht="23.45" x14ac:dyDescent="0.8">
      <c r="A1" s="1">
        <v>2006</v>
      </c>
    </row>
    <row r="2" spans="1:6" ht="14.45" x14ac:dyDescent="0.5">
      <c r="A2" s="2" t="s">
        <v>0</v>
      </c>
      <c r="B2">
        <v>2006</v>
      </c>
      <c r="C2">
        <v>2007</v>
      </c>
      <c r="D2">
        <v>2008</v>
      </c>
      <c r="E2">
        <v>2009</v>
      </c>
      <c r="F2">
        <v>2010</v>
      </c>
    </row>
    <row r="3" spans="1:6" ht="14.45" x14ac:dyDescent="0.5">
      <c r="A3" t="s">
        <v>1</v>
      </c>
      <c r="B3" s="51">
        <v>166631144.43683076</v>
      </c>
      <c r="C3" s="51">
        <v>176662876.6161283</v>
      </c>
      <c r="D3" s="51">
        <v>299175746.64190847</v>
      </c>
      <c r="E3" s="51">
        <v>129880559.36916175</v>
      </c>
      <c r="F3" s="51">
        <v>56828394.065727562</v>
      </c>
    </row>
    <row r="4" spans="1:6" ht="14.45" x14ac:dyDescent="0.5">
      <c r="A4" t="s">
        <v>2</v>
      </c>
      <c r="B4" s="51">
        <v>2415287400</v>
      </c>
      <c r="C4" s="51">
        <v>2890965800</v>
      </c>
      <c r="D4" s="51">
        <v>3637580100</v>
      </c>
      <c r="E4" s="51">
        <v>3241470400</v>
      </c>
      <c r="F4" s="51">
        <v>5106802500</v>
      </c>
    </row>
    <row r="5" spans="1:6" ht="14.45" x14ac:dyDescent="0.5">
      <c r="A5" t="s">
        <v>3</v>
      </c>
      <c r="B5" s="51">
        <v>1939352318.8544095</v>
      </c>
      <c r="C5" s="51">
        <v>2823318615.0816288</v>
      </c>
      <c r="D5" s="51">
        <v>3127427099.8236742</v>
      </c>
      <c r="E5" s="51">
        <v>2570150391.9372926</v>
      </c>
      <c r="F5" s="51">
        <v>2942072190.8441753</v>
      </c>
    </row>
    <row r="6" spans="1:6" ht="14.45" x14ac:dyDescent="0.5">
      <c r="A6" t="s">
        <v>4</v>
      </c>
      <c r="B6" s="51">
        <v>2009930999.4071529</v>
      </c>
      <c r="C6" s="51">
        <v>5453338324.7360163</v>
      </c>
      <c r="D6" s="51">
        <v>13856225058.007938</v>
      </c>
      <c r="E6" s="51">
        <v>16418580676.0683</v>
      </c>
      <c r="F6" s="51">
        <v>18582798362.466812</v>
      </c>
    </row>
    <row r="7" spans="1:6" ht="14.45" x14ac:dyDescent="0.5">
      <c r="A7" t="s">
        <v>5</v>
      </c>
      <c r="B7" s="51">
        <v>53233101746.579758</v>
      </c>
      <c r="C7" s="51">
        <v>45612166740.591782</v>
      </c>
      <c r="D7" s="51">
        <v>28271528267.59148</v>
      </c>
      <c r="E7" s="51">
        <v>24873043658.943562</v>
      </c>
      <c r="F7" s="51">
        <v>20197477817.669205</v>
      </c>
    </row>
    <row r="8" spans="1:6" ht="14.45" x14ac:dyDescent="0.5">
      <c r="A8" t="s">
        <v>6</v>
      </c>
      <c r="B8" s="51">
        <v>12318010000</v>
      </c>
      <c r="C8" s="51">
        <v>15536060000</v>
      </c>
      <c r="D8" s="51">
        <v>22744380000</v>
      </c>
      <c r="E8" s="51">
        <v>32759930000</v>
      </c>
      <c r="F8" s="51">
        <v>31587750000</v>
      </c>
    </row>
    <row r="9" spans="1:6" ht="14.45" x14ac:dyDescent="0.5">
      <c r="A9" t="s">
        <v>7</v>
      </c>
      <c r="B9" s="51">
        <v>359939515.13850194</v>
      </c>
      <c r="C9" s="51">
        <v>737282573.02264512</v>
      </c>
      <c r="D9" s="51">
        <v>1666838076.7530549</v>
      </c>
      <c r="E9" s="51">
        <v>1917817118.7266521</v>
      </c>
      <c r="F9" s="51">
        <v>2264688518.6991448</v>
      </c>
    </row>
    <row r="10" spans="1:6" ht="14.45" x14ac:dyDescent="0.5">
      <c r="A10" t="s">
        <v>8</v>
      </c>
      <c r="B10" s="51">
        <v>5668948268.3784428</v>
      </c>
      <c r="C10" s="51">
        <v>4772055408.7668076</v>
      </c>
      <c r="D10" s="51">
        <v>6296202020.9373121</v>
      </c>
      <c r="E10" s="51">
        <v>7414608401.8660421</v>
      </c>
      <c r="F10" s="51">
        <v>9892631496.259201</v>
      </c>
    </row>
    <row r="11" spans="1:6" ht="14.45" x14ac:dyDescent="0.5">
      <c r="A11" t="s">
        <v>10</v>
      </c>
      <c r="B11" s="51">
        <v>11343212000</v>
      </c>
      <c r="C11" s="51">
        <v>8519584000</v>
      </c>
      <c r="D11" s="51">
        <v>15636405000</v>
      </c>
      <c r="E11" s="51">
        <v>12123814000</v>
      </c>
      <c r="F11" s="51">
        <v>9784248000</v>
      </c>
    </row>
    <row r="14" spans="1:6" ht="23.45" x14ac:dyDescent="0.8">
      <c r="A14" s="1">
        <v>2007</v>
      </c>
    </row>
    <row r="15" spans="1:6" ht="14.45" x14ac:dyDescent="0.5">
      <c r="A15" s="2" t="s">
        <v>0</v>
      </c>
      <c r="B15" t="s">
        <v>11</v>
      </c>
    </row>
    <row r="16" spans="1:6" ht="14.45" x14ac:dyDescent="0.5">
      <c r="A16" t="s">
        <v>1</v>
      </c>
      <c r="B16" s="51">
        <v>176662876.6161283</v>
      </c>
      <c r="C16" s="48">
        <f>((100/B3)*B16-100)/100</f>
        <v>6.0203224392427472E-2</v>
      </c>
    </row>
    <row r="17" spans="1:3" ht="14.45" x14ac:dyDescent="0.5">
      <c r="A17" t="s">
        <v>2</v>
      </c>
      <c r="B17" s="51">
        <v>2890965800</v>
      </c>
      <c r="C17" s="48">
        <f t="shared" ref="C17:C24" si="0">((100/B4)*B17-100)/100</f>
        <v>0.19694484391381337</v>
      </c>
    </row>
    <row r="18" spans="1:3" x14ac:dyDescent="0.25">
      <c r="A18" t="s">
        <v>3</v>
      </c>
      <c r="B18" s="51">
        <v>2823318615.0816288</v>
      </c>
      <c r="C18" s="48">
        <f t="shared" si="0"/>
        <v>0.45580490333462736</v>
      </c>
    </row>
    <row r="19" spans="1:3" x14ac:dyDescent="0.25">
      <c r="A19" t="s">
        <v>4</v>
      </c>
      <c r="B19" s="51">
        <v>5453338324.7360163</v>
      </c>
      <c r="C19" s="48">
        <f t="shared" si="0"/>
        <v>1.7131967845386373</v>
      </c>
    </row>
    <row r="20" spans="1:3" x14ac:dyDescent="0.25">
      <c r="A20" t="s">
        <v>5</v>
      </c>
      <c r="B20" s="51">
        <v>45612166740.591782</v>
      </c>
      <c r="C20" s="48">
        <f t="shared" si="0"/>
        <v>-0.14316158097020193</v>
      </c>
    </row>
    <row r="21" spans="1:3" x14ac:dyDescent="0.25">
      <c r="A21" t="s">
        <v>6</v>
      </c>
      <c r="B21" s="51">
        <v>15536060000</v>
      </c>
      <c r="C21" s="48">
        <f t="shared" si="0"/>
        <v>0.26124755540870637</v>
      </c>
    </row>
    <row r="22" spans="1:3" x14ac:dyDescent="0.25">
      <c r="A22" t="s">
        <v>7</v>
      </c>
      <c r="B22" s="51">
        <v>737282573.02264512</v>
      </c>
      <c r="C22" s="48">
        <f t="shared" si="0"/>
        <v>1.0483512979644498</v>
      </c>
    </row>
    <row r="23" spans="1:3" x14ac:dyDescent="0.25">
      <c r="A23" t="s">
        <v>8</v>
      </c>
      <c r="B23" s="51">
        <v>4772055408.7668076</v>
      </c>
      <c r="C23" s="48">
        <f t="shared" si="0"/>
        <v>-0.15821150893447539</v>
      </c>
    </row>
    <row r="24" spans="1:3" x14ac:dyDescent="0.25">
      <c r="A24" t="s">
        <v>10</v>
      </c>
      <c r="B24" s="51">
        <v>8519584000</v>
      </c>
      <c r="C24" s="48">
        <f t="shared" si="0"/>
        <v>-0.24892667085830708</v>
      </c>
    </row>
    <row r="27" spans="1:3" ht="23.25" x14ac:dyDescent="0.35">
      <c r="A27" s="1">
        <v>2008</v>
      </c>
    </row>
    <row r="28" spans="1:3" x14ac:dyDescent="0.25">
      <c r="A28" s="2" t="s">
        <v>0</v>
      </c>
      <c r="B28" t="s">
        <v>11</v>
      </c>
    </row>
    <row r="29" spans="1:3" x14ac:dyDescent="0.25">
      <c r="A29" t="s">
        <v>1</v>
      </c>
      <c r="B29" s="51">
        <v>299175746.64190847</v>
      </c>
      <c r="C29" s="48">
        <f t="shared" ref="C29:C37" si="1">((100/B16)*B29-100)/100</f>
        <v>0.69348395300948851</v>
      </c>
    </row>
    <row r="30" spans="1:3" x14ac:dyDescent="0.25">
      <c r="A30" t="s">
        <v>2</v>
      </c>
      <c r="B30" s="51">
        <v>3637580100</v>
      </c>
      <c r="C30" s="48">
        <f t="shared" si="1"/>
        <v>0.25825774210127295</v>
      </c>
    </row>
    <row r="31" spans="1:3" x14ac:dyDescent="0.25">
      <c r="A31" t="s">
        <v>3</v>
      </c>
      <c r="B31" s="51">
        <v>3127427099.8236742</v>
      </c>
      <c r="C31" s="48">
        <f t="shared" si="1"/>
        <v>0.1077131299023624</v>
      </c>
    </row>
    <row r="32" spans="1:3" x14ac:dyDescent="0.25">
      <c r="A32" t="s">
        <v>4</v>
      </c>
      <c r="B32" s="51">
        <v>13856225058.007938</v>
      </c>
      <c r="C32" s="48">
        <f t="shared" si="1"/>
        <v>1.5408702400063703</v>
      </c>
    </row>
    <row r="33" spans="1:3" x14ac:dyDescent="0.25">
      <c r="A33" t="s">
        <v>5</v>
      </c>
      <c r="B33" s="51">
        <v>28271528267.59148</v>
      </c>
      <c r="C33" s="48">
        <f t="shared" si="1"/>
        <v>-0.38017572310521897</v>
      </c>
    </row>
    <row r="34" spans="1:3" x14ac:dyDescent="0.25">
      <c r="A34" t="s">
        <v>6</v>
      </c>
      <c r="B34" s="51">
        <v>22744380000</v>
      </c>
      <c r="C34" s="48">
        <f t="shared" si="1"/>
        <v>0.46397349134851451</v>
      </c>
    </row>
    <row r="35" spans="1:3" x14ac:dyDescent="0.25">
      <c r="A35" t="s">
        <v>7</v>
      </c>
      <c r="B35" s="51">
        <v>1666838076.7530549</v>
      </c>
      <c r="C35" s="48">
        <f t="shared" si="1"/>
        <v>1.2607859425179431</v>
      </c>
    </row>
    <row r="36" spans="1:3" x14ac:dyDescent="0.25">
      <c r="A36" t="s">
        <v>8</v>
      </c>
      <c r="B36" s="51">
        <v>6296202020.9373121</v>
      </c>
      <c r="C36" s="48">
        <f t="shared" si="1"/>
        <v>0.31938996545816989</v>
      </c>
    </row>
    <row r="37" spans="1:3" x14ac:dyDescent="0.25">
      <c r="A37" t="s">
        <v>10</v>
      </c>
      <c r="B37" s="51">
        <v>15636405000</v>
      </c>
      <c r="C37" s="48">
        <f t="shared" si="1"/>
        <v>0.83534841607289734</v>
      </c>
    </row>
    <row r="39" spans="1:3" ht="23.25" x14ac:dyDescent="0.35">
      <c r="A39" s="1">
        <v>2009</v>
      </c>
    </row>
    <row r="40" spans="1:3" x14ac:dyDescent="0.25">
      <c r="A40" s="2" t="s">
        <v>0</v>
      </c>
      <c r="B40" t="s">
        <v>11</v>
      </c>
    </row>
    <row r="41" spans="1:3" x14ac:dyDescent="0.25">
      <c r="A41" t="s">
        <v>1</v>
      </c>
      <c r="B41" s="51">
        <v>129880559.36916175</v>
      </c>
      <c r="C41" s="48">
        <f t="shared" ref="C41:C49" si="2">((100/B29)*B41-100)/100</f>
        <v>-0.56587203064752667</v>
      </c>
    </row>
    <row r="42" spans="1:3" x14ac:dyDescent="0.25">
      <c r="A42" t="s">
        <v>2</v>
      </c>
      <c r="B42" s="51">
        <v>3241470400</v>
      </c>
      <c r="C42" s="48">
        <f t="shared" si="2"/>
        <v>-0.1088937395495428</v>
      </c>
    </row>
    <row r="43" spans="1:3" x14ac:dyDescent="0.25">
      <c r="A43" t="s">
        <v>3</v>
      </c>
      <c r="B43" s="51">
        <v>2570150391.9372926</v>
      </c>
      <c r="C43" s="48">
        <f t="shared" si="2"/>
        <v>-0.17819015123255824</v>
      </c>
    </row>
    <row r="44" spans="1:3" x14ac:dyDescent="0.25">
      <c r="A44" t="s">
        <v>4</v>
      </c>
      <c r="B44" s="51">
        <v>16418580676.0683</v>
      </c>
      <c r="C44" s="48">
        <f t="shared" si="2"/>
        <v>0.18492450918870559</v>
      </c>
    </row>
    <row r="45" spans="1:3" x14ac:dyDescent="0.25">
      <c r="A45" t="s">
        <v>5</v>
      </c>
      <c r="B45" s="51">
        <v>24873043658.943562</v>
      </c>
      <c r="C45" s="48">
        <f t="shared" si="2"/>
        <v>-0.12020873355274915</v>
      </c>
    </row>
    <row r="46" spans="1:3" x14ac:dyDescent="0.25">
      <c r="A46" t="s">
        <v>6</v>
      </c>
      <c r="B46" s="51">
        <v>32759930000</v>
      </c>
      <c r="C46" s="48">
        <f t="shared" si="2"/>
        <v>0.44035273768728816</v>
      </c>
    </row>
    <row r="47" spans="1:3" x14ac:dyDescent="0.25">
      <c r="A47" t="s">
        <v>7</v>
      </c>
      <c r="B47" s="51">
        <v>1917817118.7266521</v>
      </c>
      <c r="C47" s="48">
        <f t="shared" si="2"/>
        <v>0.15057193945466849</v>
      </c>
    </row>
    <row r="48" spans="1:3" x14ac:dyDescent="0.25">
      <c r="A48" t="s">
        <v>8</v>
      </c>
      <c r="B48" s="51">
        <v>7414608401.8660421</v>
      </c>
      <c r="C48" s="48">
        <f t="shared" si="2"/>
        <v>0.17763190844410559</v>
      </c>
    </row>
    <row r="49" spans="1:3" x14ac:dyDescent="0.25">
      <c r="A49" t="s">
        <v>10</v>
      </c>
      <c r="B49" s="51">
        <v>12123814000</v>
      </c>
      <c r="C49" s="48">
        <f t="shared" si="2"/>
        <v>-0.22464185341835288</v>
      </c>
    </row>
    <row r="52" spans="1:3" ht="23.25" x14ac:dyDescent="0.35">
      <c r="A52" s="1">
        <v>2010</v>
      </c>
    </row>
    <row r="53" spans="1:3" x14ac:dyDescent="0.25">
      <c r="A53" s="2" t="s">
        <v>0</v>
      </c>
      <c r="B53" t="s">
        <v>11</v>
      </c>
    </row>
    <row r="54" spans="1:3" x14ac:dyDescent="0.25">
      <c r="A54" t="s">
        <v>1</v>
      </c>
      <c r="B54" s="51">
        <v>56828394.065727562</v>
      </c>
      <c r="C54" s="48">
        <f t="shared" ref="C54:C62" si="3">((100/B41)*B54-100)/100</f>
        <v>-0.56245650356183607</v>
      </c>
    </row>
    <row r="55" spans="1:3" x14ac:dyDescent="0.25">
      <c r="A55" t="s">
        <v>2</v>
      </c>
      <c r="B55" s="51">
        <v>5106802500</v>
      </c>
      <c r="C55" s="48">
        <f t="shared" si="3"/>
        <v>0.57545862519676239</v>
      </c>
    </row>
    <row r="56" spans="1:3" x14ac:dyDescent="0.25">
      <c r="A56" t="s">
        <v>3</v>
      </c>
      <c r="B56" s="51">
        <v>2942072190.8441753</v>
      </c>
      <c r="C56" s="48">
        <f t="shared" si="3"/>
        <v>0.14470818519944303</v>
      </c>
    </row>
    <row r="57" spans="1:3" x14ac:dyDescent="0.25">
      <c r="A57" t="s">
        <v>4</v>
      </c>
      <c r="B57" s="51">
        <v>18582798362.466812</v>
      </c>
      <c r="C57" s="48">
        <f t="shared" si="3"/>
        <v>0.13181515071842198</v>
      </c>
    </row>
    <row r="58" spans="1:3" x14ac:dyDescent="0.25">
      <c r="A58" t="s">
        <v>5</v>
      </c>
      <c r="B58" s="51">
        <v>20197477817.669205</v>
      </c>
      <c r="C58" s="48">
        <f t="shared" si="3"/>
        <v>-0.18797722970237188</v>
      </c>
    </row>
    <row r="59" spans="1:3" x14ac:dyDescent="0.25">
      <c r="A59" t="s">
        <v>6</v>
      </c>
      <c r="B59" s="51">
        <v>31587750000</v>
      </c>
      <c r="C59" s="48">
        <f t="shared" si="3"/>
        <v>-3.5780906735759288E-2</v>
      </c>
    </row>
    <row r="60" spans="1:3" x14ac:dyDescent="0.25">
      <c r="A60" t="s">
        <v>7</v>
      </c>
      <c r="B60" s="51">
        <v>2264688518.6991448</v>
      </c>
      <c r="C60" s="48">
        <f t="shared" si="3"/>
        <v>0.18086781924378711</v>
      </c>
    </row>
    <row r="61" spans="1:3" x14ac:dyDescent="0.25">
      <c r="A61" t="s">
        <v>8</v>
      </c>
      <c r="B61" s="51">
        <v>9892631496.259201</v>
      </c>
      <c r="C61" s="48">
        <f t="shared" si="3"/>
        <v>0.33420822248272913</v>
      </c>
    </row>
    <row r="62" spans="1:3" x14ac:dyDescent="0.25">
      <c r="A62" t="s">
        <v>10</v>
      </c>
      <c r="B62" s="51">
        <v>9784248000</v>
      </c>
      <c r="C62" s="48">
        <f t="shared" si="3"/>
        <v>-0.19297277242953415</v>
      </c>
    </row>
    <row r="65" spans="1:2" ht="23.25" x14ac:dyDescent="0.35">
      <c r="A65" s="1" t="s">
        <v>159</v>
      </c>
    </row>
    <row r="66" spans="1:2" x14ac:dyDescent="0.25">
      <c r="A66" t="s">
        <v>1</v>
      </c>
      <c r="B66" s="49">
        <f>AVERAGE(C16,C29,C41,C54)</f>
        <v>-9.3660339201861703E-2</v>
      </c>
    </row>
    <row r="67" spans="1:2" x14ac:dyDescent="0.25">
      <c r="A67" t="s">
        <v>2</v>
      </c>
      <c r="B67" s="49">
        <f t="shared" ref="B67:B74" si="4">AVERAGE(C17,C30,C42,C55)</f>
        <v>0.23044186791557647</v>
      </c>
    </row>
    <row r="68" spans="1:2" x14ac:dyDescent="0.25">
      <c r="A68" t="s">
        <v>3</v>
      </c>
      <c r="B68" s="49">
        <f t="shared" si="4"/>
        <v>0.13250901680096866</v>
      </c>
    </row>
    <row r="69" spans="1:2" x14ac:dyDescent="0.25">
      <c r="A69" t="s">
        <v>4</v>
      </c>
      <c r="B69" s="49">
        <f t="shared" si="4"/>
        <v>0.89270167111303378</v>
      </c>
    </row>
    <row r="70" spans="1:2" x14ac:dyDescent="0.25">
      <c r="A70" t="s">
        <v>5</v>
      </c>
      <c r="B70" s="49">
        <f t="shared" si="4"/>
        <v>-0.20788081683263548</v>
      </c>
    </row>
    <row r="71" spans="1:2" x14ac:dyDescent="0.25">
      <c r="A71" t="s">
        <v>6</v>
      </c>
      <c r="B71" s="49">
        <f t="shared" si="4"/>
        <v>0.28244821942718745</v>
      </c>
    </row>
    <row r="72" spans="1:2" x14ac:dyDescent="0.25">
      <c r="A72" t="s">
        <v>7</v>
      </c>
      <c r="B72" s="49">
        <f t="shared" si="4"/>
        <v>0.66014424979521213</v>
      </c>
    </row>
    <row r="73" spans="1:2" x14ac:dyDescent="0.25">
      <c r="A73" t="s">
        <v>8</v>
      </c>
      <c r="B73" s="49">
        <f t="shared" si="4"/>
        <v>0.16825464686263231</v>
      </c>
    </row>
    <row r="74" spans="1:2" x14ac:dyDescent="0.25">
      <c r="A74" t="s">
        <v>10</v>
      </c>
      <c r="B74" s="49">
        <f t="shared" si="4"/>
        <v>4.2201779841675807E-2</v>
      </c>
    </row>
    <row r="79" spans="1:2" ht="23.25" x14ac:dyDescent="0.35">
      <c r="A79" s="1"/>
    </row>
    <row r="80" spans="1:2" x14ac:dyDescent="0.25">
      <c r="A80" s="2"/>
    </row>
    <row r="93" spans="1:1" ht="23.25" x14ac:dyDescent="0.35">
      <c r="A93" s="1"/>
    </row>
    <row r="94" spans="1:1" x14ac:dyDescent="0.25">
      <c r="A94" s="2"/>
    </row>
    <row r="107" spans="1:1" ht="23.25" x14ac:dyDescent="0.35">
      <c r="A107" s="1"/>
    </row>
    <row r="108" spans="1:1" x14ac:dyDescent="0.25">
      <c r="A108" s="2"/>
    </row>
  </sheetData>
  <customSheetViews>
    <customSheetView guid="{821D1691-1FA5-412F-8FF4-9E35B3587D16}" topLeftCell="A58">
      <selection activeCell="A2" sqref="A2:F11"/>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55"/>
  <sheetViews>
    <sheetView topLeftCell="A28" workbookViewId="0">
      <selection activeCell="H6" sqref="H6"/>
    </sheetView>
  </sheetViews>
  <sheetFormatPr defaultRowHeight="15" x14ac:dyDescent="0.25"/>
  <cols>
    <col min="1" max="1" width="30.140625" customWidth="1"/>
    <col min="2" max="2" width="25.5703125" customWidth="1"/>
    <col min="3" max="3" width="20" bestFit="1" customWidth="1"/>
    <col min="4" max="9" width="19" bestFit="1" customWidth="1"/>
    <col min="10" max="13" width="20" bestFit="1" customWidth="1"/>
    <col min="14" max="16" width="21.7109375" bestFit="1" customWidth="1"/>
    <col min="17" max="20" width="22.7109375" bestFit="1" customWidth="1"/>
    <col min="21" max="24" width="23.7109375" bestFit="1" customWidth="1"/>
    <col min="25" max="27" width="25.28515625" bestFit="1" customWidth="1"/>
  </cols>
  <sheetData>
    <row r="1" spans="1:27" ht="23.25" x14ac:dyDescent="0.35">
      <c r="A1" s="249" t="s">
        <v>415</v>
      </c>
      <c r="B1" s="249"/>
      <c r="C1" s="249"/>
      <c r="D1" s="249"/>
      <c r="E1" s="49"/>
    </row>
    <row r="2" spans="1:27" x14ac:dyDescent="0.25">
      <c r="A2" s="2" t="s">
        <v>161</v>
      </c>
      <c r="B2" s="2"/>
      <c r="C2">
        <v>2006</v>
      </c>
      <c r="D2">
        <v>2007</v>
      </c>
      <c r="E2">
        <v>2008</v>
      </c>
      <c r="F2">
        <v>2009</v>
      </c>
      <c r="G2">
        <v>2010</v>
      </c>
      <c r="H2">
        <v>2011</v>
      </c>
      <c r="I2">
        <v>2012</v>
      </c>
      <c r="J2">
        <v>2013</v>
      </c>
      <c r="K2">
        <v>2014</v>
      </c>
      <c r="L2">
        <v>2015</v>
      </c>
      <c r="M2">
        <v>2016</v>
      </c>
      <c r="N2">
        <v>2017</v>
      </c>
      <c r="O2">
        <v>2018</v>
      </c>
      <c r="P2">
        <v>2019</v>
      </c>
      <c r="Q2">
        <v>2020</v>
      </c>
      <c r="R2">
        <v>2021</v>
      </c>
      <c r="S2">
        <v>2022</v>
      </c>
      <c r="T2">
        <v>2023</v>
      </c>
      <c r="U2">
        <v>2024</v>
      </c>
      <c r="V2">
        <v>2025</v>
      </c>
      <c r="W2">
        <v>2026</v>
      </c>
      <c r="X2">
        <v>2027</v>
      </c>
      <c r="Y2">
        <v>2028</v>
      </c>
      <c r="Z2">
        <v>2029</v>
      </c>
      <c r="AA2">
        <v>2030</v>
      </c>
    </row>
    <row r="3" spans="1:27" x14ac:dyDescent="0.25">
      <c r="A3" t="s">
        <v>1</v>
      </c>
      <c r="B3" s="48">
        <f>IFERROR(IF(VLOOKUP(A3,Machine!$B$16:$D$19,3,FALSE)="",Machine!$D$11,VLOOKUP(A3,Machine!$B$16:$D$19,3,FALSE)),Machine!$D$11)</f>
        <v>0.03</v>
      </c>
      <c r="C3" s="51">
        <v>166631144.43683076</v>
      </c>
      <c r="D3" s="51">
        <v>176662876.6161283</v>
      </c>
      <c r="E3" s="51">
        <v>299175746.64190847</v>
      </c>
      <c r="F3" s="51">
        <v>129880559.36916175</v>
      </c>
      <c r="G3" s="51">
        <v>56828394.065727562</v>
      </c>
      <c r="H3" s="51">
        <v>90330986.054297298</v>
      </c>
      <c r="I3" s="51">
        <v>260301069.36675143</v>
      </c>
      <c r="J3" s="51">
        <v>277118433.39066935</v>
      </c>
      <c r="K3" s="51">
        <v>203951984.92120147</v>
      </c>
      <c r="L3" s="95">
        <f>K3+K3*$B3</f>
        <v>210070544.4688375</v>
      </c>
      <c r="M3" s="51">
        <f t="shared" ref="M3:AA3" si="0">L3+L3*$B3</f>
        <v>216372660.80290264</v>
      </c>
      <c r="N3" s="51">
        <f t="shared" si="0"/>
        <v>222863840.62698972</v>
      </c>
      <c r="O3" s="51">
        <f t="shared" si="0"/>
        <v>229549755.84579942</v>
      </c>
      <c r="P3" s="51">
        <f t="shared" si="0"/>
        <v>236436248.52117339</v>
      </c>
      <c r="Q3" s="51">
        <f t="shared" si="0"/>
        <v>243529335.97680858</v>
      </c>
      <c r="R3" s="51">
        <f t="shared" si="0"/>
        <v>250835216.05611283</v>
      </c>
      <c r="S3" s="51">
        <f t="shared" si="0"/>
        <v>258360272.5377962</v>
      </c>
      <c r="T3" s="51">
        <f t="shared" si="0"/>
        <v>266111080.71393007</v>
      </c>
      <c r="U3" s="51">
        <f t="shared" si="0"/>
        <v>274094413.13534796</v>
      </c>
      <c r="V3" s="51">
        <f t="shared" si="0"/>
        <v>282317245.5294084</v>
      </c>
      <c r="W3" s="51">
        <f t="shared" si="0"/>
        <v>290786762.89529067</v>
      </c>
      <c r="X3" s="51">
        <f t="shared" si="0"/>
        <v>299510365.78214937</v>
      </c>
      <c r="Y3" s="51">
        <f t="shared" si="0"/>
        <v>308495676.75561386</v>
      </c>
      <c r="Z3" s="51">
        <f t="shared" si="0"/>
        <v>317750547.05828226</v>
      </c>
      <c r="AA3" s="51">
        <f t="shared" si="0"/>
        <v>327283063.47003073</v>
      </c>
    </row>
    <row r="4" spans="1:27" x14ac:dyDescent="0.25">
      <c r="A4" t="s">
        <v>2</v>
      </c>
      <c r="B4" s="48">
        <f>IFERROR(IF(VLOOKUP(A4,Machine!$B$16:$D$19,3,FALSE)="",Machine!$D$11,VLOOKUP(A4,Machine!$B$16:$D$19,3,FALSE)),Machine!$D$11)</f>
        <v>0.03</v>
      </c>
      <c r="C4" s="51">
        <v>2415287400</v>
      </c>
      <c r="D4" s="51">
        <v>2890965800</v>
      </c>
      <c r="E4" s="51">
        <v>3637580100</v>
      </c>
      <c r="F4" s="51">
        <v>3241470400</v>
      </c>
      <c r="G4" s="51">
        <v>5106802500</v>
      </c>
      <c r="H4" s="51">
        <v>5381231000</v>
      </c>
      <c r="I4" s="51">
        <v>3648325600</v>
      </c>
      <c r="J4" s="51">
        <v>3500140000</v>
      </c>
      <c r="K4" s="51">
        <v>4544755000</v>
      </c>
      <c r="L4" s="95">
        <f>K4+K4*$B4</f>
        <v>4681097650</v>
      </c>
      <c r="M4" s="51">
        <f t="shared" ref="M4:AA4" si="1">L4+L4*$B4</f>
        <v>4821530579.5</v>
      </c>
      <c r="N4" s="51">
        <f t="shared" si="1"/>
        <v>4966176496.8850002</v>
      </c>
      <c r="O4" s="51">
        <f t="shared" si="1"/>
        <v>5115161791.7915506</v>
      </c>
      <c r="P4" s="51">
        <f t="shared" si="1"/>
        <v>5268616645.5452976</v>
      </c>
      <c r="Q4" s="51">
        <f t="shared" si="1"/>
        <v>5426675144.9116564</v>
      </c>
      <c r="R4" s="51">
        <f t="shared" si="1"/>
        <v>5589475399.2590065</v>
      </c>
      <c r="S4" s="51">
        <f t="shared" si="1"/>
        <v>5757159661.2367764</v>
      </c>
      <c r="T4" s="51">
        <f t="shared" si="1"/>
        <v>5929874451.0738792</v>
      </c>
      <c r="U4" s="51">
        <f t="shared" si="1"/>
        <v>6107770684.6060953</v>
      </c>
      <c r="V4" s="51">
        <f t="shared" si="1"/>
        <v>6291003805.1442785</v>
      </c>
      <c r="W4" s="51">
        <f t="shared" si="1"/>
        <v>6479733919.2986069</v>
      </c>
      <c r="X4" s="51">
        <f t="shared" si="1"/>
        <v>6674125936.8775654</v>
      </c>
      <c r="Y4" s="51">
        <f t="shared" si="1"/>
        <v>6874349714.9838924</v>
      </c>
      <c r="Z4" s="51">
        <f t="shared" si="1"/>
        <v>7080580206.4334087</v>
      </c>
      <c r="AA4" s="51">
        <f t="shared" si="1"/>
        <v>7292997612.6264114</v>
      </c>
    </row>
    <row r="5" spans="1:27" x14ac:dyDescent="0.25">
      <c r="A5" t="s">
        <v>3</v>
      </c>
      <c r="B5" s="48">
        <f>IFERROR(IF(VLOOKUP(A5,Machine!$B$16:$D$19,3,FALSE)="",Machine!$D$11,VLOOKUP(A5,Machine!$B$16:$D$19,3,FALSE)),Machine!$D$11)</f>
        <v>0.03</v>
      </c>
      <c r="C5" s="51">
        <v>1939352318.8544095</v>
      </c>
      <c r="D5" s="51">
        <v>2823318615.0816288</v>
      </c>
      <c r="E5" s="51">
        <v>3127427099.8236742</v>
      </c>
      <c r="F5" s="51">
        <v>2570150391.9372926</v>
      </c>
      <c r="G5" s="51">
        <v>2942072190.8441753</v>
      </c>
      <c r="H5" s="51">
        <v>3016140364.6544843</v>
      </c>
      <c r="I5" s="51">
        <v>2892232817.7276087</v>
      </c>
      <c r="J5" s="95">
        <f>I5+I5*$B5</f>
        <v>2978999802.2594371</v>
      </c>
      <c r="K5" s="51">
        <f t="shared" ref="K5:AA5" si="2">J5+J5*$B5</f>
        <v>3068369796.32722</v>
      </c>
      <c r="L5" s="51">
        <f t="shared" si="2"/>
        <v>3160420890.2170367</v>
      </c>
      <c r="M5" s="51">
        <f t="shared" si="2"/>
        <v>3255233516.9235477</v>
      </c>
      <c r="N5" s="51">
        <f t="shared" si="2"/>
        <v>3352890522.4312544</v>
      </c>
      <c r="O5" s="51">
        <f t="shared" si="2"/>
        <v>3453477238.1041918</v>
      </c>
      <c r="P5" s="51">
        <f t="shared" si="2"/>
        <v>3557081555.2473173</v>
      </c>
      <c r="Q5" s="51">
        <f t="shared" si="2"/>
        <v>3663794001.904737</v>
      </c>
      <c r="R5" s="51">
        <f t="shared" si="2"/>
        <v>3773707821.9618793</v>
      </c>
      <c r="S5" s="51">
        <f t="shared" si="2"/>
        <v>3886919056.6207356</v>
      </c>
      <c r="T5" s="51">
        <f t="shared" si="2"/>
        <v>4003526628.3193579</v>
      </c>
      <c r="U5" s="51">
        <f t="shared" si="2"/>
        <v>4123632427.1689386</v>
      </c>
      <c r="V5" s="51">
        <f t="shared" si="2"/>
        <v>4247341399.9840069</v>
      </c>
      <c r="W5" s="51">
        <f t="shared" si="2"/>
        <v>4374761641.9835272</v>
      </c>
      <c r="X5" s="51">
        <f t="shared" si="2"/>
        <v>4506004491.2430334</v>
      </c>
      <c r="Y5" s="51">
        <f t="shared" si="2"/>
        <v>4641184625.9803247</v>
      </c>
      <c r="Z5" s="51">
        <f t="shared" si="2"/>
        <v>4780420164.7597342</v>
      </c>
      <c r="AA5" s="51">
        <f t="shared" si="2"/>
        <v>4923832769.7025261</v>
      </c>
    </row>
    <row r="6" spans="1:27" x14ac:dyDescent="0.25">
      <c r="A6" t="s">
        <v>4</v>
      </c>
      <c r="B6" s="48">
        <f>IFERROR(IF(VLOOKUP(A6,Machine!$B$16:$D$19,3,FALSE)="",Machine!$D$11,VLOOKUP(A6,Machine!$B$16:$D$19,3,FALSE)),Machine!$D$11)</f>
        <v>0.03</v>
      </c>
      <c r="C6" s="51">
        <v>2009930999.4071529</v>
      </c>
      <c r="D6" s="51">
        <v>5453338324.7360163</v>
      </c>
      <c r="E6" s="51">
        <v>13856225058.007938</v>
      </c>
      <c r="F6" s="51">
        <v>16418580676.0683</v>
      </c>
      <c r="G6" s="51">
        <v>18582798362.466812</v>
      </c>
      <c r="H6" s="95">
        <f>G6+G6*$B6</f>
        <v>19140282313.340816</v>
      </c>
      <c r="I6" s="51">
        <f t="shared" ref="I6:AA6" si="3">H6+H6*$B6</f>
        <v>19714490782.741039</v>
      </c>
      <c r="J6" s="51">
        <f t="shared" si="3"/>
        <v>20305925506.22327</v>
      </c>
      <c r="K6" s="51">
        <f t="shared" si="3"/>
        <v>20915103271.409969</v>
      </c>
      <c r="L6" s="51">
        <f t="shared" si="3"/>
        <v>21542556369.552269</v>
      </c>
      <c r="M6" s="51">
        <f t="shared" si="3"/>
        <v>22188833060.638836</v>
      </c>
      <c r="N6" s="51">
        <f t="shared" si="3"/>
        <v>22854498052.458</v>
      </c>
      <c r="O6" s="51">
        <f t="shared" si="3"/>
        <v>23540132994.031738</v>
      </c>
      <c r="P6" s="51">
        <f t="shared" si="3"/>
        <v>24246336983.852692</v>
      </c>
      <c r="Q6" s="51">
        <f t="shared" si="3"/>
        <v>24973727093.368271</v>
      </c>
      <c r="R6" s="51">
        <f t="shared" si="3"/>
        <v>25722938906.169319</v>
      </c>
      <c r="S6" s="51">
        <f t="shared" si="3"/>
        <v>26494627073.354401</v>
      </c>
      <c r="T6" s="51">
        <f t="shared" si="3"/>
        <v>27289465885.555031</v>
      </c>
      <c r="U6" s="51">
        <f t="shared" si="3"/>
        <v>28108149862.121681</v>
      </c>
      <c r="V6" s="51">
        <f t="shared" si="3"/>
        <v>28951394357.985332</v>
      </c>
      <c r="W6" s="51">
        <f t="shared" si="3"/>
        <v>29819936188.724892</v>
      </c>
      <c r="X6" s="51">
        <f t="shared" si="3"/>
        <v>30714534274.386639</v>
      </c>
      <c r="Y6" s="51">
        <f t="shared" si="3"/>
        <v>31635970302.618237</v>
      </c>
      <c r="Z6" s="51">
        <f t="shared" si="3"/>
        <v>32585049411.696785</v>
      </c>
      <c r="AA6" s="51">
        <f t="shared" si="3"/>
        <v>33562600894.047688</v>
      </c>
    </row>
    <row r="7" spans="1:27" x14ac:dyDescent="0.25">
      <c r="A7" t="s">
        <v>5</v>
      </c>
      <c r="B7" s="48">
        <f>IFERROR(IF(VLOOKUP(A7,Machine!$B$16:$D$19,3,FALSE)="",Machine!$D$11,VLOOKUP(A7,Machine!$B$16:$D$19,3,FALSE)),Machine!$D$11)</f>
        <v>0.03</v>
      </c>
      <c r="C7" s="51">
        <v>53233101746.579758</v>
      </c>
      <c r="D7" s="51">
        <v>45612166740.591782</v>
      </c>
      <c r="E7" s="51">
        <v>28271528267.59148</v>
      </c>
      <c r="F7" s="51">
        <v>24873043658.943562</v>
      </c>
      <c r="G7" s="51">
        <v>20197477817.669205</v>
      </c>
      <c r="H7" s="51">
        <v>15038484381.010752</v>
      </c>
      <c r="I7" s="51">
        <v>13711792270.182116</v>
      </c>
      <c r="J7" s="51">
        <v>13607767084.175358</v>
      </c>
      <c r="K7" s="95">
        <f>J7+J7*$B7</f>
        <v>14016000096.700619</v>
      </c>
      <c r="L7" s="51">
        <f t="shared" ref="L7:AA7" si="4">K7+K7*$B7</f>
        <v>14436480099.601637</v>
      </c>
      <c r="M7" s="51">
        <f t="shared" si="4"/>
        <v>14869574502.589685</v>
      </c>
      <c r="N7" s="51">
        <f t="shared" si="4"/>
        <v>15315661737.667376</v>
      </c>
      <c r="O7" s="51">
        <f t="shared" si="4"/>
        <v>15775131589.797398</v>
      </c>
      <c r="P7" s="51">
        <f t="shared" si="4"/>
        <v>16248385537.49132</v>
      </c>
      <c r="Q7" s="51">
        <f t="shared" si="4"/>
        <v>16735837103.616058</v>
      </c>
      <c r="R7" s="51">
        <f t="shared" si="4"/>
        <v>17237912216.724541</v>
      </c>
      <c r="S7" s="51">
        <f t="shared" si="4"/>
        <v>17755049583.226276</v>
      </c>
      <c r="T7" s="51">
        <f t="shared" si="4"/>
        <v>18287701070.723064</v>
      </c>
      <c r="U7" s="51">
        <f t="shared" si="4"/>
        <v>18836332102.844757</v>
      </c>
      <c r="V7" s="51">
        <f t="shared" si="4"/>
        <v>19401422065.930099</v>
      </c>
      <c r="W7" s="51">
        <f t="shared" si="4"/>
        <v>19983464727.908001</v>
      </c>
      <c r="X7" s="51">
        <f t="shared" si="4"/>
        <v>20582968669.745239</v>
      </c>
      <c r="Y7" s="51">
        <f t="shared" si="4"/>
        <v>21200457729.837597</v>
      </c>
      <c r="Z7" s="51">
        <f t="shared" si="4"/>
        <v>21836471461.732723</v>
      </c>
      <c r="AA7" s="51">
        <f t="shared" si="4"/>
        <v>22491565605.584705</v>
      </c>
    </row>
    <row r="8" spans="1:27" x14ac:dyDescent="0.25">
      <c r="A8" t="s">
        <v>6</v>
      </c>
      <c r="B8" s="48">
        <f>IFERROR(IF(VLOOKUP(A8,Machine!$B$16:$D$19,3,FALSE)="",Machine!$D$11,VLOOKUP(A8,Machine!$B$16:$D$19,3,FALSE)),Machine!$D$11)</f>
        <v>0.03</v>
      </c>
      <c r="C8" s="51">
        <v>12318010000</v>
      </c>
      <c r="D8" s="51">
        <v>15536060000</v>
      </c>
      <c r="E8" s="51">
        <v>22744380000</v>
      </c>
      <c r="F8" s="51">
        <v>32759930000</v>
      </c>
      <c r="G8" s="51">
        <v>31587750000</v>
      </c>
      <c r="H8" s="51">
        <v>33892440000</v>
      </c>
      <c r="I8" s="95">
        <f>H8+H8*$B8</f>
        <v>34909213200</v>
      </c>
      <c r="J8" s="51">
        <f t="shared" ref="J8:AA8" si="5">I8+I8*$B8</f>
        <v>35956489596</v>
      </c>
      <c r="K8" s="51">
        <f t="shared" si="5"/>
        <v>37035184283.879997</v>
      </c>
      <c r="L8" s="51">
        <f t="shared" si="5"/>
        <v>38146239812.3964</v>
      </c>
      <c r="M8" s="51">
        <f t="shared" si="5"/>
        <v>39290627006.768295</v>
      </c>
      <c r="N8" s="51">
        <f t="shared" si="5"/>
        <v>40469345816.971344</v>
      </c>
      <c r="O8" s="51">
        <f t="shared" si="5"/>
        <v>41683426191.480484</v>
      </c>
      <c r="P8" s="51">
        <f t="shared" si="5"/>
        <v>42933928977.224899</v>
      </c>
      <c r="Q8" s="51">
        <f t="shared" si="5"/>
        <v>44221946846.541649</v>
      </c>
      <c r="R8" s="51">
        <f t="shared" si="5"/>
        <v>45548605251.937897</v>
      </c>
      <c r="S8" s="51">
        <f t="shared" si="5"/>
        <v>46915063409.496033</v>
      </c>
      <c r="T8" s="51">
        <f t="shared" si="5"/>
        <v>48322515311.780914</v>
      </c>
      <c r="U8" s="51">
        <f t="shared" si="5"/>
        <v>49772190771.134338</v>
      </c>
      <c r="V8" s="51">
        <f t="shared" si="5"/>
        <v>51265356494.268372</v>
      </c>
      <c r="W8" s="51">
        <f t="shared" si="5"/>
        <v>52803317189.09642</v>
      </c>
      <c r="X8" s="51">
        <f t="shared" si="5"/>
        <v>54387416704.76931</v>
      </c>
      <c r="Y8" s="51">
        <f t="shared" si="5"/>
        <v>56019039205.912392</v>
      </c>
      <c r="Z8" s="51">
        <f t="shared" si="5"/>
        <v>57699610382.08976</v>
      </c>
      <c r="AA8" s="51">
        <f t="shared" si="5"/>
        <v>59430598693.552452</v>
      </c>
    </row>
    <row r="9" spans="1:27" x14ac:dyDescent="0.25">
      <c r="A9" t="s">
        <v>7</v>
      </c>
      <c r="B9" s="48">
        <f>IFERROR(IF(VLOOKUP(A9,Machine!$B$16:$D$19,3,FALSE)="",Machine!$D$11,VLOOKUP(A9,Machine!$B$16:$D$19,3,FALSE)),Machine!$D$11)</f>
        <v>0.03</v>
      </c>
      <c r="C9" s="51">
        <v>359939515.13850194</v>
      </c>
      <c r="D9" s="51">
        <v>737282573.02264512</v>
      </c>
      <c r="E9" s="51">
        <v>1666838076.7530549</v>
      </c>
      <c r="F9" s="51">
        <v>1917817118.7266521</v>
      </c>
      <c r="G9" s="51">
        <v>2264688518.6991448</v>
      </c>
      <c r="H9" s="51">
        <v>1874479786.2515342</v>
      </c>
      <c r="I9" s="95">
        <f>H9+H9*$B9</f>
        <v>1930714179.8390803</v>
      </c>
      <c r="J9" s="85">
        <f t="shared" ref="J9:AA9" si="6">I9+I9*$B9</f>
        <v>1988635605.2342527</v>
      </c>
      <c r="K9" s="85">
        <f t="shared" si="6"/>
        <v>2048294673.3912802</v>
      </c>
      <c r="L9" s="85">
        <f t="shared" si="6"/>
        <v>2109743513.5930185</v>
      </c>
      <c r="M9" s="85">
        <f t="shared" si="6"/>
        <v>2173035819.0008092</v>
      </c>
      <c r="N9" s="85">
        <f t="shared" si="6"/>
        <v>2238226893.5708337</v>
      </c>
      <c r="O9" s="85">
        <f t="shared" si="6"/>
        <v>2305373700.3779588</v>
      </c>
      <c r="P9" s="85">
        <f t="shared" si="6"/>
        <v>2374534911.3892975</v>
      </c>
      <c r="Q9" s="85">
        <f t="shared" si="6"/>
        <v>2445770958.7309766</v>
      </c>
      <c r="R9" s="85">
        <f t="shared" si="6"/>
        <v>2519144087.4929061</v>
      </c>
      <c r="S9" s="85">
        <f t="shared" si="6"/>
        <v>2594718410.1176934</v>
      </c>
      <c r="T9" s="85">
        <f t="shared" si="6"/>
        <v>2672559962.4212241</v>
      </c>
      <c r="U9" s="85">
        <f t="shared" si="6"/>
        <v>2752736761.2938609</v>
      </c>
      <c r="V9" s="85">
        <f t="shared" si="6"/>
        <v>2835318864.1326766</v>
      </c>
      <c r="W9" s="85">
        <f t="shared" si="6"/>
        <v>2920378430.0566568</v>
      </c>
      <c r="X9" s="85">
        <f t="shared" si="6"/>
        <v>3007989782.9583564</v>
      </c>
      <c r="Y9" s="85">
        <f t="shared" si="6"/>
        <v>3098229476.4471068</v>
      </c>
      <c r="Z9" s="85">
        <f t="shared" si="6"/>
        <v>3191176360.74052</v>
      </c>
      <c r="AA9" s="85">
        <f t="shared" si="6"/>
        <v>3286911651.5627356</v>
      </c>
    </row>
    <row r="10" spans="1:27" x14ac:dyDescent="0.25">
      <c r="A10" t="s">
        <v>8</v>
      </c>
      <c r="B10" s="48">
        <f>IFERROR(IF(VLOOKUP(A10,Machine!$B$16:$D$19,3,FALSE)="",Machine!$D$11,VLOOKUP(A10,Machine!$B$16:$D$19,3,FALSE)),Machine!$D$11)</f>
        <v>0.03</v>
      </c>
      <c r="C10" s="51">
        <v>5668948268.3784428</v>
      </c>
      <c r="D10" s="51">
        <v>4772055408.7668076</v>
      </c>
      <c r="E10" s="51">
        <v>6296202020.9373121</v>
      </c>
      <c r="F10" s="51">
        <v>7414608401.8660421</v>
      </c>
      <c r="G10" s="51">
        <v>9892631496.259201</v>
      </c>
      <c r="H10" s="51">
        <v>9842774518.8716221</v>
      </c>
      <c r="I10" s="51">
        <v>10418003502.04114</v>
      </c>
      <c r="J10" s="95">
        <f>I10+I10*$B10</f>
        <v>10730543607.102373</v>
      </c>
      <c r="K10" s="85">
        <f t="shared" ref="K10:AA10" si="7">J10+J10*$B10</f>
        <v>11052459915.315445</v>
      </c>
      <c r="L10" s="85">
        <f t="shared" si="7"/>
        <v>11384033712.774908</v>
      </c>
      <c r="M10" s="85">
        <f t="shared" si="7"/>
        <v>11725554724.158155</v>
      </c>
      <c r="N10" s="85">
        <f t="shared" si="7"/>
        <v>12077321365.8829</v>
      </c>
      <c r="O10" s="85">
        <f t="shared" si="7"/>
        <v>12439641006.859386</v>
      </c>
      <c r="P10" s="85">
        <f t="shared" si="7"/>
        <v>12812830237.065168</v>
      </c>
      <c r="Q10" s="85">
        <f t="shared" si="7"/>
        <v>13197215144.177124</v>
      </c>
      <c r="R10" s="85">
        <f t="shared" si="7"/>
        <v>13593131598.502438</v>
      </c>
      <c r="S10" s="85">
        <f t="shared" si="7"/>
        <v>14000925546.45751</v>
      </c>
      <c r="T10" s="85">
        <f t="shared" si="7"/>
        <v>14420953312.851234</v>
      </c>
      <c r="U10" s="85">
        <f t="shared" si="7"/>
        <v>14853581912.236771</v>
      </c>
      <c r="V10" s="85">
        <f t="shared" si="7"/>
        <v>15299189369.603874</v>
      </c>
      <c r="W10" s="85">
        <f t="shared" si="7"/>
        <v>15758165050.69199</v>
      </c>
      <c r="X10" s="85">
        <f t="shared" si="7"/>
        <v>16230910002.212749</v>
      </c>
      <c r="Y10" s="85">
        <f t="shared" si="7"/>
        <v>16717837302.279133</v>
      </c>
      <c r="Z10" s="85">
        <f t="shared" si="7"/>
        <v>17219372421.347507</v>
      </c>
      <c r="AA10" s="85">
        <f t="shared" si="7"/>
        <v>17735953593.987934</v>
      </c>
    </row>
    <row r="11" spans="1:27" x14ac:dyDescent="0.25">
      <c r="A11" t="s">
        <v>10</v>
      </c>
      <c r="B11" s="48">
        <f>IFERROR(IF(VLOOKUP(A11,Machine!$B$16:$D$19,3,FALSE)="",Machine!$D$11,VLOOKUP(A11,Machine!$B$16:$D$19,3,FALSE)),Machine!$D$11)</f>
        <v>0.03</v>
      </c>
      <c r="C11" s="51">
        <v>11343212000</v>
      </c>
      <c r="D11" s="51">
        <v>8519584000</v>
      </c>
      <c r="E11" s="51">
        <v>15636405000</v>
      </c>
      <c r="F11" s="51">
        <v>12123814000</v>
      </c>
      <c r="G11" s="51">
        <v>9784248000</v>
      </c>
      <c r="H11" s="51">
        <v>14368353000</v>
      </c>
      <c r="I11" s="51">
        <v>12135103000</v>
      </c>
      <c r="J11" s="95">
        <f>I11+I11*$B11</f>
        <v>12499156090</v>
      </c>
      <c r="K11" s="51">
        <f t="shared" ref="K11:AA12" si="8">J11+J11*$B11</f>
        <v>12874130772.700001</v>
      </c>
      <c r="L11" s="51">
        <f t="shared" si="8"/>
        <v>13260354695.881001</v>
      </c>
      <c r="M11" s="51">
        <f t="shared" si="8"/>
        <v>13658165336.757431</v>
      </c>
      <c r="N11" s="51">
        <f t="shared" si="8"/>
        <v>14067910296.860153</v>
      </c>
      <c r="O11" s="51">
        <f t="shared" si="8"/>
        <v>14489947605.765957</v>
      </c>
      <c r="P11" s="51">
        <f t="shared" si="8"/>
        <v>14924646033.938936</v>
      </c>
      <c r="Q11" s="51">
        <f t="shared" si="8"/>
        <v>15372385414.957104</v>
      </c>
      <c r="R11" s="51">
        <f t="shared" si="8"/>
        <v>15833556977.405817</v>
      </c>
      <c r="S11" s="51">
        <f t="shared" si="8"/>
        <v>16308563686.727991</v>
      </c>
      <c r="T11" s="51">
        <f t="shared" si="8"/>
        <v>16797820597.32983</v>
      </c>
      <c r="U11" s="51">
        <f t="shared" si="8"/>
        <v>17301755215.249725</v>
      </c>
      <c r="V11" s="51">
        <f t="shared" si="8"/>
        <v>17820807871.707218</v>
      </c>
      <c r="W11" s="51">
        <f t="shared" si="8"/>
        <v>18355432107.858437</v>
      </c>
      <c r="X11" s="51">
        <f t="shared" si="8"/>
        <v>18906095071.094189</v>
      </c>
      <c r="Y11" s="51">
        <f t="shared" si="8"/>
        <v>19473277923.227013</v>
      </c>
      <c r="Z11" s="51">
        <f t="shared" si="8"/>
        <v>20057476260.923824</v>
      </c>
      <c r="AA11" s="51">
        <f t="shared" si="8"/>
        <v>20659200548.751537</v>
      </c>
    </row>
    <row r="12" spans="1:27" x14ac:dyDescent="0.25">
      <c r="A12">
        <f>'Custom Member Setup'!D3</f>
        <v>0</v>
      </c>
      <c r="B12" s="48">
        <f>IFERROR(IF(VLOOKUP(A12,Machine!$B$16:$D$19,3,FALSE)="",Machine!$D$11,VLOOKUP(A12,Machine!$B$16:$D$19,3,FALSE)),Machine!$D$11)</f>
        <v>0.03</v>
      </c>
      <c r="C12" s="51">
        <f>'Custom Member Calcs'!B23</f>
        <v>0</v>
      </c>
      <c r="D12" s="51">
        <f>'Custom Member Calcs'!C23</f>
        <v>0</v>
      </c>
      <c r="E12" s="51">
        <f>'Custom Member Calcs'!D23</f>
        <v>0</v>
      </c>
      <c r="F12" s="51">
        <f>'Custom Member Calcs'!E23</f>
        <v>0</v>
      </c>
      <c r="G12" s="51">
        <f>'Custom Member Calcs'!F23</f>
        <v>0</v>
      </c>
      <c r="H12" s="51">
        <f>'Custom Member Calcs'!G23</f>
        <v>0</v>
      </c>
      <c r="I12" s="51">
        <f>'Custom Member Calcs'!H23</f>
        <v>0</v>
      </c>
      <c r="J12" s="51">
        <f>'Custom Member Calcs'!I23</f>
        <v>0</v>
      </c>
      <c r="K12" s="51">
        <f>'Custom Member Calcs'!J23</f>
        <v>0</v>
      </c>
      <c r="L12" s="51">
        <f>'Custom Member Calcs'!K23</f>
        <v>0</v>
      </c>
      <c r="M12" s="95">
        <f>'Custom Member Calcs'!L23</f>
        <v>0</v>
      </c>
      <c r="N12" s="51">
        <f>M12+M12*$B$12</f>
        <v>0</v>
      </c>
      <c r="O12" s="51">
        <f t="shared" si="8"/>
        <v>0</v>
      </c>
      <c r="P12" s="51">
        <f t="shared" si="8"/>
        <v>0</v>
      </c>
      <c r="Q12" s="51">
        <f t="shared" si="8"/>
        <v>0</v>
      </c>
      <c r="R12" s="51">
        <f t="shared" si="8"/>
        <v>0</v>
      </c>
      <c r="S12" s="51">
        <f t="shared" si="8"/>
        <v>0</v>
      </c>
      <c r="T12" s="51">
        <f t="shared" si="8"/>
        <v>0</v>
      </c>
      <c r="U12" s="51">
        <f t="shared" si="8"/>
        <v>0</v>
      </c>
      <c r="V12" s="51">
        <f t="shared" si="8"/>
        <v>0</v>
      </c>
      <c r="W12" s="51">
        <f t="shared" si="8"/>
        <v>0</v>
      </c>
      <c r="X12" s="51">
        <f t="shared" si="8"/>
        <v>0</v>
      </c>
      <c r="Y12" s="51">
        <f t="shared" si="8"/>
        <v>0</v>
      </c>
      <c r="Z12" s="51">
        <f t="shared" si="8"/>
        <v>0</v>
      </c>
      <c r="AA12" s="51">
        <f t="shared" si="8"/>
        <v>0</v>
      </c>
    </row>
    <row r="13" spans="1:27" ht="23.25" x14ac:dyDescent="0.35">
      <c r="A13" s="249" t="s">
        <v>417</v>
      </c>
      <c r="B13" s="249"/>
      <c r="C13" s="249"/>
      <c r="D13" s="249"/>
    </row>
    <row r="14" spans="1:27" x14ac:dyDescent="0.25">
      <c r="A14" s="2" t="s">
        <v>161</v>
      </c>
      <c r="B14" s="2"/>
      <c r="C14">
        <v>2006</v>
      </c>
      <c r="D14">
        <v>2007</v>
      </c>
      <c r="E14">
        <v>2008</v>
      </c>
      <c r="F14">
        <v>2009</v>
      </c>
      <c r="G14">
        <v>2010</v>
      </c>
      <c r="H14">
        <v>2011</v>
      </c>
      <c r="I14">
        <v>2012</v>
      </c>
      <c r="J14">
        <v>2013</v>
      </c>
      <c r="K14">
        <v>2014</v>
      </c>
      <c r="L14">
        <v>2015</v>
      </c>
      <c r="M14">
        <v>2016</v>
      </c>
      <c r="N14">
        <v>2017</v>
      </c>
      <c r="O14">
        <v>2018</v>
      </c>
      <c r="P14">
        <v>2019</v>
      </c>
      <c r="Q14">
        <v>2020</v>
      </c>
      <c r="R14">
        <v>2021</v>
      </c>
      <c r="S14">
        <v>2022</v>
      </c>
      <c r="T14">
        <v>2023</v>
      </c>
      <c r="U14">
        <v>2024</v>
      </c>
      <c r="V14">
        <v>2025</v>
      </c>
      <c r="W14">
        <v>2026</v>
      </c>
      <c r="X14">
        <v>2027</v>
      </c>
      <c r="Y14">
        <v>2028</v>
      </c>
      <c r="Z14">
        <v>2029</v>
      </c>
      <c r="AA14">
        <v>2030</v>
      </c>
    </row>
    <row r="15" spans="1:27" x14ac:dyDescent="0.25">
      <c r="A15" t="s">
        <v>1</v>
      </c>
      <c r="B15" s="49">
        <f t="shared" ref="B15:B24" si="9">B3</f>
        <v>0.03</v>
      </c>
      <c r="C15" s="86">
        <f>'DM+AMS Records'!B2+'DM+AMS Records'!B14</f>
        <v>166631144.80053294</v>
      </c>
      <c r="D15" s="86">
        <f>'DM+AMS Records'!C2+'DM+AMS Records'!C14</f>
        <v>176662877.05188915</v>
      </c>
      <c r="E15" s="86">
        <f>'DM+AMS Records'!D2+'DM+AMS Records'!D14</f>
        <v>299175747.1108681</v>
      </c>
      <c r="F15" s="86">
        <f>'DM+AMS Records'!E2+'DM+AMS Records'!E14</f>
        <v>129880559</v>
      </c>
      <c r="G15" s="86">
        <f>'DM+AMS Records'!F2+'DM+AMS Records'!F14</f>
        <v>56828394</v>
      </c>
      <c r="H15" s="86">
        <f>'DM+AMS Records'!G2+'DM+AMS Records'!G14</f>
        <v>90330986</v>
      </c>
      <c r="I15" s="86">
        <f>'DM+AMS Records'!H2+'DM+AMS Records'!H14</f>
        <v>260301069</v>
      </c>
      <c r="J15" s="86">
        <f>'DM+AMS Records'!I2+'DM+AMS Records'!I14</f>
        <v>277118433</v>
      </c>
      <c r="K15" s="86">
        <f>'DM+AMS Records'!J2+'DM+AMS Records'!J14</f>
        <v>203951985</v>
      </c>
      <c r="L15" s="87">
        <f>K15+K15*$B15</f>
        <v>210070544.55000001</v>
      </c>
      <c r="M15" s="86">
        <f t="shared" ref="M15:AA15" si="10">L15+L15*$B15</f>
        <v>216372660.8865</v>
      </c>
      <c r="N15" s="86">
        <f t="shared" si="10"/>
        <v>222863840.71309501</v>
      </c>
      <c r="O15" s="86">
        <f t="shared" si="10"/>
        <v>229549755.93448785</v>
      </c>
      <c r="P15" s="86">
        <f t="shared" si="10"/>
        <v>236436248.61252248</v>
      </c>
      <c r="Q15" s="86">
        <f t="shared" si="10"/>
        <v>243529336.07089815</v>
      </c>
      <c r="R15" s="86">
        <f t="shared" si="10"/>
        <v>250835216.15302509</v>
      </c>
      <c r="S15" s="86">
        <f t="shared" si="10"/>
        <v>258360272.63761583</v>
      </c>
      <c r="T15" s="86">
        <f t="shared" si="10"/>
        <v>266111080.8167443</v>
      </c>
      <c r="U15" s="86">
        <f t="shared" si="10"/>
        <v>274094413.24124664</v>
      </c>
      <c r="V15" s="86">
        <f t="shared" si="10"/>
        <v>282317245.63848406</v>
      </c>
      <c r="W15" s="86">
        <f t="shared" si="10"/>
        <v>290786763.00763857</v>
      </c>
      <c r="X15" s="86">
        <f t="shared" si="10"/>
        <v>299510365.89786774</v>
      </c>
      <c r="Y15" s="86">
        <f t="shared" si="10"/>
        <v>308495676.87480378</v>
      </c>
      <c r="Z15" s="86">
        <f t="shared" si="10"/>
        <v>317750547.18104792</v>
      </c>
      <c r="AA15" s="86">
        <f t="shared" si="10"/>
        <v>327283063.59647936</v>
      </c>
    </row>
    <row r="16" spans="1:27" x14ac:dyDescent="0.25">
      <c r="A16" t="s">
        <v>2</v>
      </c>
      <c r="B16" s="49">
        <f t="shared" si="9"/>
        <v>0.03</v>
      </c>
      <c r="C16" s="86">
        <f>'DM+AMS Records'!B3+'DM+AMS Records'!B15</f>
        <v>1650548500</v>
      </c>
      <c r="D16" s="86">
        <f>'DM+AMS Records'!C3+'DM+AMS Records'!C15</f>
        <v>2248036900</v>
      </c>
      <c r="E16" s="86">
        <f>'DM+AMS Records'!D3+'DM+AMS Records'!D15</f>
        <v>2737467000</v>
      </c>
      <c r="F16" s="86">
        <f>'DM+AMS Records'!E3+'DM+AMS Records'!E15</f>
        <v>2370739100</v>
      </c>
      <c r="G16" s="86">
        <f>'DM+AMS Records'!F3+'DM+AMS Records'!F15</f>
        <v>3455756300</v>
      </c>
      <c r="H16" s="86">
        <f>'DM+AMS Records'!G3+'DM+AMS Records'!G15</f>
        <v>3641927300</v>
      </c>
      <c r="I16" s="86">
        <f>'DM+AMS Records'!H3+'DM+AMS Records'!H15</f>
        <v>2608584500</v>
      </c>
      <c r="J16" s="86">
        <f>'DM+AMS Records'!I3+'DM+AMS Records'!I15</f>
        <v>2430165300</v>
      </c>
      <c r="K16" s="86">
        <f>'DM+AMS Records'!J3+'DM+AMS Records'!J15</f>
        <v>2669461700</v>
      </c>
      <c r="L16" s="87">
        <f>K16+K16*$B16</f>
        <v>2749545551</v>
      </c>
      <c r="M16" s="86">
        <f t="shared" ref="M16:AA16" si="11">L16+L16*$B16</f>
        <v>2832031917.5300002</v>
      </c>
      <c r="N16" s="86">
        <f t="shared" si="11"/>
        <v>2916992875.0559001</v>
      </c>
      <c r="O16" s="86">
        <f t="shared" si="11"/>
        <v>3004502661.3075771</v>
      </c>
      <c r="P16" s="86">
        <f t="shared" si="11"/>
        <v>3094637741.1468043</v>
      </c>
      <c r="Q16" s="86">
        <f t="shared" si="11"/>
        <v>3187476873.3812084</v>
      </c>
      <c r="R16" s="86">
        <f t="shared" si="11"/>
        <v>3283101179.5826445</v>
      </c>
      <c r="S16" s="86">
        <f t="shared" si="11"/>
        <v>3381594214.9701238</v>
      </c>
      <c r="T16" s="86">
        <f t="shared" si="11"/>
        <v>3483042041.4192276</v>
      </c>
      <c r="U16" s="86">
        <f t="shared" si="11"/>
        <v>3587533302.6618042</v>
      </c>
      <c r="V16" s="86">
        <f t="shared" si="11"/>
        <v>3695159301.7416582</v>
      </c>
      <c r="W16" s="86">
        <f t="shared" si="11"/>
        <v>3806014080.7939081</v>
      </c>
      <c r="X16" s="86">
        <f t="shared" si="11"/>
        <v>3920194503.2177253</v>
      </c>
      <c r="Y16" s="86">
        <f t="shared" si="11"/>
        <v>4037800338.3142571</v>
      </c>
      <c r="Z16" s="86">
        <f t="shared" si="11"/>
        <v>4158934348.463685</v>
      </c>
      <c r="AA16" s="86">
        <f t="shared" si="11"/>
        <v>4283702378.9175954</v>
      </c>
    </row>
    <row r="17" spans="1:27" x14ac:dyDescent="0.25">
      <c r="A17" t="s">
        <v>3</v>
      </c>
      <c r="B17" s="49">
        <f t="shared" si="9"/>
        <v>0.03</v>
      </c>
      <c r="C17" s="86">
        <f>'DM+AMS Records'!B4+'DM+AMS Records'!B16</f>
        <v>1939352319.2237749</v>
      </c>
      <c r="D17" s="86">
        <f>'DM+AMS Records'!C4+'DM+AMS Records'!C16</f>
        <v>2823318614.7546911</v>
      </c>
      <c r="E17" s="86">
        <f>'DM+AMS Records'!D4+'DM+AMS Records'!D16</f>
        <v>3127427100.1676054</v>
      </c>
      <c r="F17" s="86">
        <f>'DM+AMS Records'!E4+'DM+AMS Records'!E16</f>
        <v>2570150392.15413</v>
      </c>
      <c r="G17" s="86">
        <f>'DM+AMS Records'!F4+'DM+AMS Records'!F16</f>
        <v>2942072190.5485468</v>
      </c>
      <c r="H17" s="86">
        <f>'DM+AMS Records'!G4+'DM+AMS Records'!G16</f>
        <v>3016140365.1341271</v>
      </c>
      <c r="I17" s="86">
        <f>'DM+AMS Records'!H4+'DM+AMS Records'!H16</f>
        <v>2892232817.525692</v>
      </c>
      <c r="J17" s="87">
        <f>I17+I17*$B17</f>
        <v>2978999802.0514627</v>
      </c>
      <c r="K17" s="86">
        <f t="shared" ref="K17:AA17" si="12">J17+J17*$B17</f>
        <v>3068369796.1130066</v>
      </c>
      <c r="L17" s="86">
        <f t="shared" si="12"/>
        <v>3160420889.996397</v>
      </c>
      <c r="M17" s="86">
        <f t="shared" si="12"/>
        <v>3255233516.6962891</v>
      </c>
      <c r="N17" s="86">
        <f t="shared" si="12"/>
        <v>3352890522.1971779</v>
      </c>
      <c r="O17" s="86">
        <f t="shared" si="12"/>
        <v>3453477237.8630934</v>
      </c>
      <c r="P17" s="86">
        <f t="shared" si="12"/>
        <v>3557081554.9989862</v>
      </c>
      <c r="Q17" s="86">
        <f t="shared" si="12"/>
        <v>3663794001.6489558</v>
      </c>
      <c r="R17" s="86">
        <f t="shared" si="12"/>
        <v>3773707821.6984243</v>
      </c>
      <c r="S17" s="86">
        <f t="shared" si="12"/>
        <v>3886919056.3493772</v>
      </c>
      <c r="T17" s="86">
        <f t="shared" si="12"/>
        <v>4003526628.0398583</v>
      </c>
      <c r="U17" s="86">
        <f t="shared" si="12"/>
        <v>4123632426.8810539</v>
      </c>
      <c r="V17" s="86">
        <f t="shared" si="12"/>
        <v>4247341399.6874857</v>
      </c>
      <c r="W17" s="86">
        <f t="shared" si="12"/>
        <v>4374761641.6781101</v>
      </c>
      <c r="X17" s="86">
        <f t="shared" si="12"/>
        <v>4506004490.9284534</v>
      </c>
      <c r="Y17" s="86">
        <f t="shared" si="12"/>
        <v>4641184625.6563072</v>
      </c>
      <c r="Z17" s="86">
        <f t="shared" si="12"/>
        <v>4780420164.4259968</v>
      </c>
      <c r="AA17" s="86">
        <f t="shared" si="12"/>
        <v>4923832769.358777</v>
      </c>
    </row>
    <row r="18" spans="1:27" x14ac:dyDescent="0.25">
      <c r="A18" t="s">
        <v>4</v>
      </c>
      <c r="B18" s="49">
        <f t="shared" si="9"/>
        <v>0.03</v>
      </c>
      <c r="C18" s="86">
        <f>'DM+AMS Records'!B5+'DM+AMS Records'!B17</f>
        <v>2009930999</v>
      </c>
      <c r="D18" s="86">
        <f>'DM+AMS Records'!C5+'DM+AMS Records'!C17</f>
        <v>5453338325</v>
      </c>
      <c r="E18" s="86">
        <f>'DM+AMS Records'!D5+'DM+AMS Records'!D17</f>
        <v>13856225058</v>
      </c>
      <c r="F18" s="86">
        <f>'DM+AMS Records'!E5+'DM+AMS Records'!E17</f>
        <v>16418580676</v>
      </c>
      <c r="G18" s="86">
        <f>'DM+AMS Records'!F5+'DM+AMS Records'!F17</f>
        <v>18582798362</v>
      </c>
      <c r="H18" s="87">
        <f>G18+G18*$B18</f>
        <v>19140282312.860001</v>
      </c>
      <c r="I18" s="86">
        <f t="shared" ref="I18:AA18" si="13">H18+H18*$B18</f>
        <v>19714490782.2458</v>
      </c>
      <c r="J18" s="86">
        <f t="shared" si="13"/>
        <v>20305925505.713173</v>
      </c>
      <c r="K18" s="88">
        <f t="shared" si="13"/>
        <v>20915103270.884567</v>
      </c>
      <c r="L18" s="88">
        <f t="shared" si="13"/>
        <v>21542556369.011105</v>
      </c>
      <c r="M18" s="88">
        <f t="shared" si="13"/>
        <v>22188833060.081436</v>
      </c>
      <c r="N18" s="88">
        <f t="shared" si="13"/>
        <v>22854498051.883881</v>
      </c>
      <c r="O18" s="88">
        <f t="shared" si="13"/>
        <v>23540132993.440395</v>
      </c>
      <c r="P18" s="88">
        <f t="shared" si="13"/>
        <v>24246336983.243607</v>
      </c>
      <c r="Q18" s="88">
        <f t="shared" si="13"/>
        <v>24973727092.740913</v>
      </c>
      <c r="R18" s="88">
        <f t="shared" si="13"/>
        <v>25722938905.52314</v>
      </c>
      <c r="S18" s="88">
        <f t="shared" si="13"/>
        <v>26494627072.688835</v>
      </c>
      <c r="T18" s="88">
        <f t="shared" si="13"/>
        <v>27289465884.869499</v>
      </c>
      <c r="U18" s="88">
        <f t="shared" si="13"/>
        <v>28108149861.415585</v>
      </c>
      <c r="V18" s="88">
        <f t="shared" si="13"/>
        <v>28951394357.258053</v>
      </c>
      <c r="W18" s="88">
        <f t="shared" si="13"/>
        <v>29819936187.975796</v>
      </c>
      <c r="X18" s="88">
        <f t="shared" si="13"/>
        <v>30714534273.61507</v>
      </c>
      <c r="Y18" s="88">
        <f t="shared" si="13"/>
        <v>31635970301.823521</v>
      </c>
      <c r="Z18" s="88">
        <f t="shared" si="13"/>
        <v>32585049410.878227</v>
      </c>
      <c r="AA18" s="88">
        <f t="shared" si="13"/>
        <v>33562600893.204575</v>
      </c>
    </row>
    <row r="19" spans="1:27" x14ac:dyDescent="0.25">
      <c r="A19" t="s">
        <v>5</v>
      </c>
      <c r="B19" s="49">
        <f t="shared" si="9"/>
        <v>0.03</v>
      </c>
      <c r="C19" s="86">
        <f>'DM+AMS Records'!B6+'DM+AMS Records'!B18</f>
        <v>36685508362.370712</v>
      </c>
      <c r="D19" s="86">
        <f>'DM+AMS Records'!C6+'DM+AMS Records'!C18</f>
        <v>38019086418.192177</v>
      </c>
      <c r="E19" s="86">
        <f>'DM+AMS Records'!D6+'DM+AMS Records'!D18</f>
        <v>20935545798.015553</v>
      </c>
      <c r="F19" s="86">
        <f>'DM+AMS Records'!E6+'DM+AMS Records'!E18</f>
        <v>17576335948.449532</v>
      </c>
      <c r="G19" s="86">
        <f>'DM+AMS Records'!F6+'DM+AMS Records'!F18</f>
        <v>13255788743.775139</v>
      </c>
      <c r="H19" s="86">
        <f>'DM+AMS Records'!G6+'DM+AMS Records'!G18</f>
        <v>10757463937.663874</v>
      </c>
      <c r="I19" s="86">
        <f>'DM+AMS Records'!H6+'DM+AMS Records'!H18</f>
        <v>9941896677.326088</v>
      </c>
      <c r="J19" s="86">
        <f>'DM+AMS Records'!I6+'DM+AMS Records'!I18</f>
        <v>10015738091.125002</v>
      </c>
      <c r="K19" s="87">
        <f>J19+J19*$B19</f>
        <v>10316210233.858751</v>
      </c>
      <c r="L19" s="88">
        <f t="shared" ref="L19:AA19" si="14">K19+K19*$B19</f>
        <v>10625696540.874514</v>
      </c>
      <c r="M19" s="88">
        <f t="shared" si="14"/>
        <v>10944467437.10075</v>
      </c>
      <c r="N19" s="88">
        <f t="shared" si="14"/>
        <v>11272801460.213772</v>
      </c>
      <c r="O19" s="88">
        <f t="shared" si="14"/>
        <v>11610985504.020185</v>
      </c>
      <c r="P19" s="88">
        <f t="shared" si="14"/>
        <v>11959315069.140791</v>
      </c>
      <c r="Q19" s="88">
        <f t="shared" si="14"/>
        <v>12318094521.215015</v>
      </c>
      <c r="R19" s="88">
        <f t="shared" si="14"/>
        <v>12687637356.851465</v>
      </c>
      <c r="S19" s="88">
        <f t="shared" si="14"/>
        <v>13068266477.557009</v>
      </c>
      <c r="T19" s="88">
        <f t="shared" si="14"/>
        <v>13460314471.883718</v>
      </c>
      <c r="U19" s="88">
        <f t="shared" si="14"/>
        <v>13864123906.04023</v>
      </c>
      <c r="V19" s="88">
        <f t="shared" si="14"/>
        <v>14280047623.221437</v>
      </c>
      <c r="W19" s="88">
        <f t="shared" si="14"/>
        <v>14708449051.918081</v>
      </c>
      <c r="X19" s="88">
        <f t="shared" si="14"/>
        <v>15149702523.475624</v>
      </c>
      <c r="Y19" s="88">
        <f t="shared" si="14"/>
        <v>15604193599.179893</v>
      </c>
      <c r="Z19" s="88">
        <f t="shared" si="14"/>
        <v>16072319407.155291</v>
      </c>
      <c r="AA19" s="88">
        <f t="shared" si="14"/>
        <v>16554488989.369949</v>
      </c>
    </row>
    <row r="20" spans="1:27" x14ac:dyDescent="0.25">
      <c r="A20" t="s">
        <v>6</v>
      </c>
      <c r="B20" s="49">
        <f t="shared" si="9"/>
        <v>0.03</v>
      </c>
      <c r="C20" s="86">
        <f>'DM+AMS Records'!B7+'DM+AMS Records'!B19</f>
        <v>1790000</v>
      </c>
      <c r="D20" s="86">
        <f>'DM+AMS Records'!C7+'DM+AMS Records'!C19</f>
        <v>0</v>
      </c>
      <c r="E20" s="86">
        <f>'DM+AMS Records'!D7+'DM+AMS Records'!D19</f>
        <v>432820000</v>
      </c>
      <c r="F20" s="86">
        <f>'DM+AMS Records'!E7+'DM+AMS Records'!E19</f>
        <v>1301260000</v>
      </c>
      <c r="G20" s="86">
        <f>'DM+AMS Records'!F7+'DM+AMS Records'!F19</f>
        <v>1730480000</v>
      </c>
      <c r="H20" s="86">
        <f>'DM+AMS Records'!G7+'DM+AMS Records'!G19</f>
        <v>2282170000</v>
      </c>
      <c r="I20" s="87">
        <f t="shared" ref="I20:X24" si="15">H20+H20*$B20</f>
        <v>2350635100</v>
      </c>
      <c r="J20" s="88">
        <f t="shared" si="15"/>
        <v>2421154153</v>
      </c>
      <c r="K20" s="88">
        <f>J20+J20*$B20</f>
        <v>2493788777.5900002</v>
      </c>
      <c r="L20" s="88">
        <f t="shared" ref="L20:AA20" si="16">K20+K20*$B20</f>
        <v>2568602440.9177003</v>
      </c>
      <c r="M20" s="88">
        <f t="shared" si="16"/>
        <v>2645660514.1452312</v>
      </c>
      <c r="N20" s="88">
        <f t="shared" si="16"/>
        <v>2725030329.5695882</v>
      </c>
      <c r="O20" s="88">
        <f t="shared" si="16"/>
        <v>2806781239.456676</v>
      </c>
      <c r="P20" s="88">
        <f t="shared" si="16"/>
        <v>2890984676.6403761</v>
      </c>
      <c r="Q20" s="88">
        <f t="shared" si="16"/>
        <v>2977714216.9395876</v>
      </c>
      <c r="R20" s="88">
        <f t="shared" si="16"/>
        <v>3067045643.4477754</v>
      </c>
      <c r="S20" s="88">
        <f t="shared" si="16"/>
        <v>3159057012.7512088</v>
      </c>
      <c r="T20" s="88">
        <f t="shared" si="16"/>
        <v>3253828723.1337452</v>
      </c>
      <c r="U20" s="88">
        <f t="shared" si="16"/>
        <v>3351443584.8277574</v>
      </c>
      <c r="V20" s="88">
        <f t="shared" si="16"/>
        <v>3451986892.3725901</v>
      </c>
      <c r="W20" s="88">
        <f t="shared" si="16"/>
        <v>3555546499.1437678</v>
      </c>
      <c r="X20" s="88">
        <f t="shared" si="16"/>
        <v>3662212894.1180811</v>
      </c>
      <c r="Y20" s="88">
        <f t="shared" si="16"/>
        <v>3772079280.9416237</v>
      </c>
      <c r="Z20" s="88">
        <f t="shared" si="16"/>
        <v>3885241659.3698726</v>
      </c>
      <c r="AA20" s="88">
        <f t="shared" si="16"/>
        <v>4001798909.1509686</v>
      </c>
    </row>
    <row r="21" spans="1:27" x14ac:dyDescent="0.25">
      <c r="A21" t="s">
        <v>7</v>
      </c>
      <c r="B21" s="49">
        <f t="shared" si="9"/>
        <v>0.03</v>
      </c>
      <c r="C21" s="86">
        <f>'DM+AMS Records'!B8+'DM+AMS Records'!B20</f>
        <v>0</v>
      </c>
      <c r="D21" s="86">
        <f>'DM+AMS Records'!C8+'DM+AMS Records'!C20</f>
        <v>0</v>
      </c>
      <c r="E21" s="86">
        <f>'DM+AMS Records'!D8+'DM+AMS Records'!D20</f>
        <v>0</v>
      </c>
      <c r="F21" s="86">
        <f>'DM+AMS Records'!E8+'DM+AMS Records'!E20</f>
        <v>0</v>
      </c>
      <c r="G21" s="86">
        <f>'DM+AMS Records'!F8+'DM+AMS Records'!F20</f>
        <v>0</v>
      </c>
      <c r="H21" s="86">
        <f>'DM+AMS Records'!G8+'DM+AMS Records'!G20</f>
        <v>0</v>
      </c>
      <c r="I21" s="86">
        <f>'DM+AMS Records'!H8+'DM+AMS Records'!H20</f>
        <v>0</v>
      </c>
      <c r="J21" s="86">
        <f>'DM+AMS Records'!I8+'DM+AMS Records'!I20</f>
        <v>0</v>
      </c>
      <c r="K21" s="88">
        <f>'DM+AMS Records'!J8+'DM+AMS Records'!J20</f>
        <v>0</v>
      </c>
      <c r="L21" s="88">
        <f>'DM+AMS Records'!K8+'DM+AMS Records'!K20</f>
        <v>0</v>
      </c>
      <c r="M21" s="88">
        <f>'DM+AMS Records'!L8+'DM+AMS Records'!L20</f>
        <v>0</v>
      </c>
      <c r="N21" s="88">
        <f>'DM+AMS Records'!M8+'DM+AMS Records'!M20</f>
        <v>0</v>
      </c>
      <c r="O21" s="88">
        <f>'DM+AMS Records'!N8+'DM+AMS Records'!N20</f>
        <v>0</v>
      </c>
      <c r="P21" s="88">
        <f>'DM+AMS Records'!O8+'DM+AMS Records'!O20</f>
        <v>0</v>
      </c>
      <c r="Q21" s="88">
        <f>'DM+AMS Records'!P8+'DM+AMS Records'!P20</f>
        <v>0</v>
      </c>
      <c r="R21" s="88">
        <f>'DM+AMS Records'!Q8+'DM+AMS Records'!Q20</f>
        <v>0</v>
      </c>
      <c r="S21" s="88">
        <f>'DM+AMS Records'!R8+'DM+AMS Records'!R20</f>
        <v>0</v>
      </c>
      <c r="T21" s="88">
        <f>'DM+AMS Records'!S8+'DM+AMS Records'!S20</f>
        <v>0</v>
      </c>
      <c r="U21" s="88">
        <f>'DM+AMS Records'!T8+'DM+AMS Records'!T20</f>
        <v>0</v>
      </c>
      <c r="V21" s="88">
        <f>'DM+AMS Records'!U8+'DM+AMS Records'!U20</f>
        <v>0</v>
      </c>
      <c r="W21" s="88">
        <f>'DM+AMS Records'!V8+'DM+AMS Records'!V20</f>
        <v>0</v>
      </c>
      <c r="X21" s="88">
        <f>'DM+AMS Records'!W8+'DM+AMS Records'!W20</f>
        <v>0</v>
      </c>
      <c r="Y21" s="88">
        <f>'DM+AMS Records'!X8+'DM+AMS Records'!X20</f>
        <v>0</v>
      </c>
      <c r="Z21" s="88">
        <f>'DM+AMS Records'!Y8+'DM+AMS Records'!Y20</f>
        <v>0</v>
      </c>
      <c r="AA21" s="88">
        <f>'DM+AMS Records'!Z8+'DM+AMS Records'!Z20</f>
        <v>0</v>
      </c>
    </row>
    <row r="22" spans="1:27" x14ac:dyDescent="0.25">
      <c r="A22" t="s">
        <v>8</v>
      </c>
      <c r="B22" s="49">
        <f t="shared" si="9"/>
        <v>0.03</v>
      </c>
      <c r="C22" s="86">
        <f>'DM+AMS Records'!B9+'DM+AMS Records'!B21</f>
        <v>5083599507.8195124</v>
      </c>
      <c r="D22" s="86">
        <f>'DM+AMS Records'!C9+'DM+AMS Records'!C21</f>
        <v>4186706648.5890331</v>
      </c>
      <c r="E22" s="86">
        <f>'DM+AMS Records'!D9+'DM+AMS Records'!D21</f>
        <v>6007172628.2564144</v>
      </c>
      <c r="F22" s="86">
        <f>'DM+AMS Records'!E9+'DM+AMS Records'!E21</f>
        <v>7201842226.8806648</v>
      </c>
      <c r="G22" s="86">
        <f>'DM+AMS Records'!F9+'DM+AMS Records'!F21</f>
        <v>6780707633.8730984</v>
      </c>
      <c r="H22" s="86">
        <f>'DM+AMS Records'!G9+'DM+AMS Records'!G21</f>
        <v>8186283867.8635674</v>
      </c>
      <c r="I22" s="86">
        <f>'DM+AMS Records'!H9+'DM+AMS Records'!H21</f>
        <v>8774838721.9846039</v>
      </c>
      <c r="J22" s="87">
        <f t="shared" si="15"/>
        <v>9038083883.6441422</v>
      </c>
      <c r="K22" s="88">
        <f t="shared" si="15"/>
        <v>9309226400.1534672</v>
      </c>
      <c r="L22" s="88">
        <f t="shared" si="15"/>
        <v>9588503192.1580715</v>
      </c>
      <c r="M22" s="88">
        <f t="shared" si="15"/>
        <v>9876158287.9228134</v>
      </c>
      <c r="N22" s="88">
        <f t="shared" si="15"/>
        <v>10172443036.560497</v>
      </c>
      <c r="O22" s="88">
        <f t="shared" si="15"/>
        <v>10477616327.657312</v>
      </c>
      <c r="P22" s="88">
        <f t="shared" si="15"/>
        <v>10791944817.487032</v>
      </c>
      <c r="Q22" s="88">
        <f t="shared" si="15"/>
        <v>11115703162.011642</v>
      </c>
      <c r="R22" s="88">
        <f t="shared" si="15"/>
        <v>11449174256.871992</v>
      </c>
      <c r="S22" s="88">
        <f t="shared" si="15"/>
        <v>11792649484.578152</v>
      </c>
      <c r="T22" s="88">
        <f t="shared" si="15"/>
        <v>12146428969.115496</v>
      </c>
      <c r="U22" s="88">
        <f t="shared" si="15"/>
        <v>12510821838.188961</v>
      </c>
      <c r="V22" s="88">
        <f t="shared" si="15"/>
        <v>12886146493.334629</v>
      </c>
      <c r="W22" s="88">
        <f t="shared" si="15"/>
        <v>13272730888.134668</v>
      </c>
      <c r="X22" s="88">
        <f t="shared" si="15"/>
        <v>13670912814.778708</v>
      </c>
      <c r="Y22" s="88">
        <f t="shared" ref="Y22:AA24" si="17">X22+X22*$B22</f>
        <v>14081040199.222069</v>
      </c>
      <c r="Z22" s="88">
        <f t="shared" si="17"/>
        <v>14503471405.19873</v>
      </c>
      <c r="AA22" s="88">
        <f t="shared" si="17"/>
        <v>14938575547.354692</v>
      </c>
    </row>
    <row r="23" spans="1:27" x14ac:dyDescent="0.25">
      <c r="A23" t="s">
        <v>10</v>
      </c>
      <c r="B23" s="49">
        <f t="shared" si="9"/>
        <v>0.03</v>
      </c>
      <c r="C23" s="86">
        <f>'DM+AMS Records'!B10+'DM+AMS Records'!B22</f>
        <v>11343212000</v>
      </c>
      <c r="D23" s="86">
        <f>'DM+AMS Records'!C10+'DM+AMS Records'!C22</f>
        <v>8519584000</v>
      </c>
      <c r="E23" s="86">
        <f>'DM+AMS Records'!D10+'DM+AMS Records'!D22</f>
        <v>15636405000</v>
      </c>
      <c r="F23" s="86">
        <f>'DM+AMS Records'!E10+'DM+AMS Records'!E22</f>
        <v>12123814000</v>
      </c>
      <c r="G23" s="86">
        <f>'DM+AMS Records'!F10+'DM+AMS Records'!F22</f>
        <v>9784248000</v>
      </c>
      <c r="H23" s="86">
        <f>'DM+AMS Records'!G10+'DM+AMS Records'!G22</f>
        <v>14368353000</v>
      </c>
      <c r="I23" s="86">
        <f>'DM+AMS Records'!H10+'DM+AMS Records'!H22</f>
        <v>12135103000</v>
      </c>
      <c r="J23" s="87">
        <f t="shared" si="15"/>
        <v>12499156090</v>
      </c>
      <c r="K23" s="88">
        <f t="shared" si="15"/>
        <v>12874130772.700001</v>
      </c>
      <c r="L23" s="88">
        <f t="shared" si="15"/>
        <v>13260354695.881001</v>
      </c>
      <c r="M23" s="88">
        <f t="shared" si="15"/>
        <v>13658165336.757431</v>
      </c>
      <c r="N23" s="88">
        <f t="shared" si="15"/>
        <v>14067910296.860153</v>
      </c>
      <c r="O23" s="88">
        <f t="shared" si="15"/>
        <v>14489947605.765957</v>
      </c>
      <c r="P23" s="88">
        <f t="shared" si="15"/>
        <v>14924646033.938936</v>
      </c>
      <c r="Q23" s="88">
        <f t="shared" si="15"/>
        <v>15372385414.957104</v>
      </c>
      <c r="R23" s="88">
        <f t="shared" si="15"/>
        <v>15833556977.405817</v>
      </c>
      <c r="S23" s="88">
        <f t="shared" si="15"/>
        <v>16308563686.727991</v>
      </c>
      <c r="T23" s="88">
        <f t="shared" si="15"/>
        <v>16797820597.32983</v>
      </c>
      <c r="U23" s="88">
        <f t="shared" si="15"/>
        <v>17301755215.249725</v>
      </c>
      <c r="V23" s="88">
        <f t="shared" si="15"/>
        <v>17820807871.707218</v>
      </c>
      <c r="W23" s="88">
        <f t="shared" si="15"/>
        <v>18355432107.858437</v>
      </c>
      <c r="X23" s="88">
        <f t="shared" si="15"/>
        <v>18906095071.094189</v>
      </c>
      <c r="Y23" s="88">
        <f t="shared" si="17"/>
        <v>19473277923.227013</v>
      </c>
      <c r="Z23" s="88">
        <f t="shared" si="17"/>
        <v>20057476260.923824</v>
      </c>
      <c r="AA23" s="88">
        <f t="shared" si="17"/>
        <v>20659200548.751537</v>
      </c>
    </row>
    <row r="24" spans="1:27" x14ac:dyDescent="0.25">
      <c r="A24">
        <f>'Custom Member Setup'!D3</f>
        <v>0</v>
      </c>
      <c r="B24" s="49">
        <f t="shared" si="9"/>
        <v>0.03</v>
      </c>
      <c r="C24" s="86">
        <f>'DM+AMS Records'!B11+'DM+AMS Records'!B23</f>
        <v>0</v>
      </c>
      <c r="D24" s="86">
        <f>'DM+AMS Records'!C11+'DM+AMS Records'!C23</f>
        <v>0</v>
      </c>
      <c r="E24" s="86">
        <f>'DM+AMS Records'!D11+'DM+AMS Records'!D23</f>
        <v>0</v>
      </c>
      <c r="F24" s="86">
        <f>'DM+AMS Records'!E11+'DM+AMS Records'!E23</f>
        <v>0</v>
      </c>
      <c r="G24" s="86">
        <f>'DM+AMS Records'!F11+'DM+AMS Records'!F23</f>
        <v>0</v>
      </c>
      <c r="H24" s="86">
        <f>'DM+AMS Records'!G11+'DM+AMS Records'!G23</f>
        <v>0</v>
      </c>
      <c r="I24" s="86">
        <f>'DM+AMS Records'!H11+'DM+AMS Records'!H23</f>
        <v>0</v>
      </c>
      <c r="J24" s="86">
        <f>'DM+AMS Records'!I11+'DM+AMS Records'!I23</f>
        <v>0</v>
      </c>
      <c r="K24" s="86">
        <f>'DM+AMS Records'!J11+'DM+AMS Records'!J23</f>
        <v>0</v>
      </c>
      <c r="L24" s="86">
        <f>'Custom Member Calcs'!K20</f>
        <v>0</v>
      </c>
      <c r="M24" s="86">
        <f>'Custom Member Calcs'!L20</f>
        <v>0</v>
      </c>
      <c r="N24" s="111">
        <f>M24+M24*$B$24</f>
        <v>0</v>
      </c>
      <c r="O24" s="112">
        <f t="shared" si="15"/>
        <v>0</v>
      </c>
      <c r="P24" s="112">
        <f t="shared" si="15"/>
        <v>0</v>
      </c>
      <c r="Q24" s="112">
        <f t="shared" si="15"/>
        <v>0</v>
      </c>
      <c r="R24" s="112">
        <f t="shared" si="15"/>
        <v>0</v>
      </c>
      <c r="S24" s="112">
        <f t="shared" si="15"/>
        <v>0</v>
      </c>
      <c r="T24" s="112">
        <f t="shared" si="15"/>
        <v>0</v>
      </c>
      <c r="U24" s="112">
        <f t="shared" si="15"/>
        <v>0</v>
      </c>
      <c r="V24" s="112">
        <f t="shared" si="15"/>
        <v>0</v>
      </c>
      <c r="W24" s="112">
        <f t="shared" si="15"/>
        <v>0</v>
      </c>
      <c r="X24" s="112">
        <f t="shared" si="15"/>
        <v>0</v>
      </c>
      <c r="Y24" s="112">
        <f t="shared" si="17"/>
        <v>0</v>
      </c>
      <c r="Z24" s="112">
        <f t="shared" si="17"/>
        <v>0</v>
      </c>
      <c r="AA24" s="112">
        <f t="shared" si="17"/>
        <v>0</v>
      </c>
    </row>
    <row r="27" spans="1:27" ht="23.25" x14ac:dyDescent="0.35">
      <c r="A27" s="249" t="s">
        <v>190</v>
      </c>
      <c r="B27" s="249"/>
      <c r="C27" s="249"/>
      <c r="D27" s="168"/>
      <c r="E27" s="168"/>
      <c r="F27" s="168"/>
      <c r="G27" s="168"/>
      <c r="H27" s="168"/>
      <c r="I27" s="168"/>
      <c r="J27" s="168"/>
    </row>
    <row r="28" spans="1:27" x14ac:dyDescent="0.25">
      <c r="A28" s="168" t="s">
        <v>161</v>
      </c>
      <c r="C28" s="168">
        <v>2006</v>
      </c>
      <c r="D28" s="168">
        <v>2007</v>
      </c>
      <c r="E28" s="168">
        <v>2008</v>
      </c>
      <c r="F28" s="168">
        <v>2009</v>
      </c>
      <c r="G28" s="168">
        <v>2010</v>
      </c>
      <c r="H28" s="168">
        <v>2011</v>
      </c>
      <c r="I28" s="168">
        <v>2012</v>
      </c>
      <c r="J28" s="168">
        <v>2013</v>
      </c>
      <c r="K28" s="168">
        <v>2014</v>
      </c>
      <c r="L28" s="168">
        <v>2015</v>
      </c>
      <c r="M28" s="168">
        <v>2016</v>
      </c>
      <c r="N28" s="168">
        <v>2017</v>
      </c>
      <c r="O28" s="168">
        <v>2018</v>
      </c>
      <c r="P28" s="168">
        <v>2019</v>
      </c>
      <c r="Q28" s="168">
        <v>2020</v>
      </c>
      <c r="R28" s="168">
        <v>2021</v>
      </c>
      <c r="S28" s="168">
        <v>2022</v>
      </c>
      <c r="T28" s="168">
        <v>2023</v>
      </c>
      <c r="U28" s="168">
        <v>2024</v>
      </c>
      <c r="V28" s="168">
        <v>2025</v>
      </c>
      <c r="W28" s="168">
        <v>2026</v>
      </c>
      <c r="X28" s="168">
        <v>2027</v>
      </c>
      <c r="Y28" s="168">
        <v>2028</v>
      </c>
      <c r="Z28" s="168">
        <v>2029</v>
      </c>
      <c r="AA28" s="168">
        <v>2030</v>
      </c>
    </row>
    <row r="29" spans="1:27" x14ac:dyDescent="0.25">
      <c r="A29" s="168" t="s">
        <v>1</v>
      </c>
      <c r="B29" s="49">
        <f>B15</f>
        <v>0.03</v>
      </c>
      <c r="C29" s="169">
        <v>0</v>
      </c>
      <c r="D29" s="169">
        <v>0</v>
      </c>
      <c r="E29" s="169">
        <v>0</v>
      </c>
      <c r="F29" s="169">
        <v>0</v>
      </c>
      <c r="G29" s="169">
        <v>0</v>
      </c>
      <c r="H29" s="169">
        <v>0</v>
      </c>
      <c r="I29" s="169">
        <v>0</v>
      </c>
      <c r="J29" s="169">
        <v>0</v>
      </c>
      <c r="K29" s="169">
        <v>0</v>
      </c>
      <c r="L29" s="87">
        <f>K29+K29*$B29</f>
        <v>0</v>
      </c>
      <c r="M29" s="88">
        <f t="shared" ref="M29:Z29" si="18">L29+L29*$B29</f>
        <v>0</v>
      </c>
      <c r="N29" s="88">
        <f t="shared" si="18"/>
        <v>0</v>
      </c>
      <c r="O29" s="88">
        <f t="shared" si="18"/>
        <v>0</v>
      </c>
      <c r="P29" s="88">
        <f t="shared" si="18"/>
        <v>0</v>
      </c>
      <c r="Q29" s="88">
        <f t="shared" si="18"/>
        <v>0</v>
      </c>
      <c r="R29" s="88">
        <f t="shared" si="18"/>
        <v>0</v>
      </c>
      <c r="S29" s="88">
        <f t="shared" si="18"/>
        <v>0</v>
      </c>
      <c r="T29" s="88">
        <f t="shared" si="18"/>
        <v>0</v>
      </c>
      <c r="U29" s="88">
        <f t="shared" si="18"/>
        <v>0</v>
      </c>
      <c r="V29" s="88">
        <f t="shared" si="18"/>
        <v>0</v>
      </c>
      <c r="W29" s="88">
        <f t="shared" si="18"/>
        <v>0</v>
      </c>
      <c r="X29" s="88">
        <f t="shared" si="18"/>
        <v>0</v>
      </c>
      <c r="Y29" s="88">
        <f t="shared" si="18"/>
        <v>0</v>
      </c>
      <c r="Z29" s="88">
        <f t="shared" si="18"/>
        <v>0</v>
      </c>
      <c r="AA29" s="88">
        <f>Z29+Z29*$B29</f>
        <v>0</v>
      </c>
    </row>
    <row r="30" spans="1:27" x14ac:dyDescent="0.25">
      <c r="A30" s="168" t="s">
        <v>2</v>
      </c>
      <c r="B30" s="49">
        <f t="shared" ref="B30:B37" si="19">B16</f>
        <v>0.03</v>
      </c>
      <c r="C30" s="169">
        <v>0</v>
      </c>
      <c r="D30" s="169">
        <v>0</v>
      </c>
      <c r="E30" s="169">
        <v>0</v>
      </c>
      <c r="F30" s="169">
        <v>0</v>
      </c>
      <c r="G30" s="169">
        <v>0</v>
      </c>
      <c r="H30" s="169">
        <v>0</v>
      </c>
      <c r="I30" s="169">
        <v>0</v>
      </c>
      <c r="J30" s="169">
        <v>0</v>
      </c>
      <c r="K30" s="169">
        <v>0</v>
      </c>
      <c r="L30" s="87">
        <f>K30+K30*$B30</f>
        <v>0</v>
      </c>
      <c r="M30" s="88">
        <f t="shared" ref="M30:AA30" si="20">L30+L30*$B30</f>
        <v>0</v>
      </c>
      <c r="N30" s="88">
        <f t="shared" si="20"/>
        <v>0</v>
      </c>
      <c r="O30" s="88">
        <f t="shared" si="20"/>
        <v>0</v>
      </c>
      <c r="P30" s="88">
        <f t="shared" si="20"/>
        <v>0</v>
      </c>
      <c r="Q30" s="88">
        <f t="shared" si="20"/>
        <v>0</v>
      </c>
      <c r="R30" s="88">
        <f t="shared" si="20"/>
        <v>0</v>
      </c>
      <c r="S30" s="88">
        <f t="shared" si="20"/>
        <v>0</v>
      </c>
      <c r="T30" s="88">
        <f t="shared" si="20"/>
        <v>0</v>
      </c>
      <c r="U30" s="88">
        <f t="shared" si="20"/>
        <v>0</v>
      </c>
      <c r="V30" s="88">
        <f t="shared" si="20"/>
        <v>0</v>
      </c>
      <c r="W30" s="88">
        <f t="shared" si="20"/>
        <v>0</v>
      </c>
      <c r="X30" s="88">
        <f t="shared" si="20"/>
        <v>0</v>
      </c>
      <c r="Y30" s="88">
        <f t="shared" si="20"/>
        <v>0</v>
      </c>
      <c r="Z30" s="88">
        <f t="shared" si="20"/>
        <v>0</v>
      </c>
      <c r="AA30" s="88">
        <f t="shared" si="20"/>
        <v>0</v>
      </c>
    </row>
    <row r="31" spans="1:27" x14ac:dyDescent="0.25">
      <c r="A31" s="168" t="s">
        <v>3</v>
      </c>
      <c r="B31" s="49">
        <f t="shared" si="19"/>
        <v>0.03</v>
      </c>
      <c r="C31" s="169">
        <v>0</v>
      </c>
      <c r="D31" s="169">
        <v>0</v>
      </c>
      <c r="E31" s="169">
        <v>0</v>
      </c>
      <c r="F31" s="169">
        <v>0</v>
      </c>
      <c r="G31" s="169">
        <v>0</v>
      </c>
      <c r="H31" s="169">
        <v>0</v>
      </c>
      <c r="I31" s="169">
        <v>0</v>
      </c>
      <c r="J31" s="87">
        <f>I31+I31*$B$31</f>
        <v>0</v>
      </c>
      <c r="K31" s="88">
        <f t="shared" ref="K31:AA31" si="21">J31+J31*$B$31</f>
        <v>0</v>
      </c>
      <c r="L31" s="88">
        <f t="shared" si="21"/>
        <v>0</v>
      </c>
      <c r="M31" s="88">
        <f t="shared" si="21"/>
        <v>0</v>
      </c>
      <c r="N31" s="88">
        <f t="shared" si="21"/>
        <v>0</v>
      </c>
      <c r="O31" s="88">
        <f t="shared" si="21"/>
        <v>0</v>
      </c>
      <c r="P31" s="88">
        <f t="shared" si="21"/>
        <v>0</v>
      </c>
      <c r="Q31" s="88">
        <f t="shared" si="21"/>
        <v>0</v>
      </c>
      <c r="R31" s="88">
        <f t="shared" si="21"/>
        <v>0</v>
      </c>
      <c r="S31" s="88">
        <f t="shared" si="21"/>
        <v>0</v>
      </c>
      <c r="T31" s="88">
        <f t="shared" si="21"/>
        <v>0</v>
      </c>
      <c r="U31" s="88">
        <f t="shared" si="21"/>
        <v>0</v>
      </c>
      <c r="V31" s="88">
        <f t="shared" si="21"/>
        <v>0</v>
      </c>
      <c r="W31" s="88">
        <f t="shared" si="21"/>
        <v>0</v>
      </c>
      <c r="X31" s="88">
        <f t="shared" si="21"/>
        <v>0</v>
      </c>
      <c r="Y31" s="88">
        <f t="shared" si="21"/>
        <v>0</v>
      </c>
      <c r="Z31" s="88">
        <f t="shared" si="21"/>
        <v>0</v>
      </c>
      <c r="AA31" s="88">
        <f t="shared" si="21"/>
        <v>0</v>
      </c>
    </row>
    <row r="32" spans="1:27" x14ac:dyDescent="0.25">
      <c r="A32" s="168" t="s">
        <v>4</v>
      </c>
      <c r="B32" s="49">
        <f t="shared" si="19"/>
        <v>0.03</v>
      </c>
      <c r="C32" s="169">
        <v>0</v>
      </c>
      <c r="D32" s="169">
        <v>0</v>
      </c>
      <c r="E32" s="169">
        <v>0</v>
      </c>
      <c r="F32" s="169">
        <v>0</v>
      </c>
      <c r="G32" s="169">
        <v>0</v>
      </c>
      <c r="H32" s="87">
        <f>G32+G32*$B$32</f>
        <v>0</v>
      </c>
      <c r="I32" s="88">
        <f t="shared" ref="I32:AA32" si="22">H32+H32*$B$32</f>
        <v>0</v>
      </c>
      <c r="J32" s="88">
        <f t="shared" si="22"/>
        <v>0</v>
      </c>
      <c r="K32" s="173">
        <f t="shared" si="22"/>
        <v>0</v>
      </c>
      <c r="L32" s="88">
        <f t="shared" si="22"/>
        <v>0</v>
      </c>
      <c r="M32" s="88">
        <f t="shared" si="22"/>
        <v>0</v>
      </c>
      <c r="N32" s="88">
        <f t="shared" si="22"/>
        <v>0</v>
      </c>
      <c r="O32" s="88">
        <f t="shared" si="22"/>
        <v>0</v>
      </c>
      <c r="P32" s="88">
        <f t="shared" si="22"/>
        <v>0</v>
      </c>
      <c r="Q32" s="88">
        <f t="shared" si="22"/>
        <v>0</v>
      </c>
      <c r="R32" s="88">
        <f t="shared" si="22"/>
        <v>0</v>
      </c>
      <c r="S32" s="88">
        <f t="shared" si="22"/>
        <v>0</v>
      </c>
      <c r="T32" s="88">
        <f t="shared" si="22"/>
        <v>0</v>
      </c>
      <c r="U32" s="88">
        <f t="shared" si="22"/>
        <v>0</v>
      </c>
      <c r="V32" s="88">
        <f t="shared" si="22"/>
        <v>0</v>
      </c>
      <c r="W32" s="88">
        <f t="shared" si="22"/>
        <v>0</v>
      </c>
      <c r="X32" s="88">
        <f t="shared" si="22"/>
        <v>0</v>
      </c>
      <c r="Y32" s="88">
        <f t="shared" si="22"/>
        <v>0</v>
      </c>
      <c r="Z32" s="88">
        <f t="shared" si="22"/>
        <v>0</v>
      </c>
      <c r="AA32" s="88">
        <f t="shared" si="22"/>
        <v>0</v>
      </c>
    </row>
    <row r="33" spans="1:27" x14ac:dyDescent="0.25">
      <c r="A33" s="168" t="s">
        <v>5</v>
      </c>
      <c r="B33" s="49">
        <f t="shared" si="19"/>
        <v>0.03</v>
      </c>
      <c r="C33" s="169">
        <v>13445200000</v>
      </c>
      <c r="D33" s="169">
        <v>7791212144.1467266</v>
      </c>
      <c r="E33" s="169">
        <v>7524945565.5432091</v>
      </c>
      <c r="F33" s="169">
        <v>7434346777.6116009</v>
      </c>
      <c r="G33" s="169">
        <v>7051022679.6364784</v>
      </c>
      <c r="H33" s="169">
        <v>4350287252.3103666</v>
      </c>
      <c r="I33" s="169">
        <v>3830147092.9928384</v>
      </c>
      <c r="J33" s="169">
        <v>3652553887.3544755</v>
      </c>
      <c r="K33" s="171">
        <f>J33+J33*$B$33</f>
        <v>3762130503.9751096</v>
      </c>
      <c r="L33" s="174">
        <f t="shared" ref="L33:AA33" si="23">K33+K33*$B$33</f>
        <v>3874994419.0943627</v>
      </c>
      <c r="M33" s="172">
        <f t="shared" si="23"/>
        <v>3991244251.6671934</v>
      </c>
      <c r="N33" s="172">
        <f t="shared" si="23"/>
        <v>4110981579.2172093</v>
      </c>
      <c r="O33" s="172">
        <f t="shared" si="23"/>
        <v>4234311026.5937257</v>
      </c>
      <c r="P33" s="172">
        <f t="shared" si="23"/>
        <v>4361340357.3915377</v>
      </c>
      <c r="Q33" s="172">
        <f t="shared" si="23"/>
        <v>4492180568.1132841</v>
      </c>
      <c r="R33" s="172">
        <f t="shared" si="23"/>
        <v>4626945985.156683</v>
      </c>
      <c r="S33" s="172">
        <f t="shared" si="23"/>
        <v>4765754364.7113838</v>
      </c>
      <c r="T33" s="172">
        <f t="shared" si="23"/>
        <v>4908726995.6527252</v>
      </c>
      <c r="U33" s="172">
        <f t="shared" si="23"/>
        <v>5055988805.5223074</v>
      </c>
      <c r="V33" s="172">
        <f t="shared" si="23"/>
        <v>5207668469.6879768</v>
      </c>
      <c r="W33" s="172">
        <f t="shared" si="23"/>
        <v>5363898523.778616</v>
      </c>
      <c r="X33" s="172">
        <f t="shared" si="23"/>
        <v>5524815479.4919748</v>
      </c>
      <c r="Y33" s="172">
        <f t="shared" si="23"/>
        <v>5690559943.8767338</v>
      </c>
      <c r="Z33" s="172">
        <f t="shared" si="23"/>
        <v>5861276742.1930361</v>
      </c>
      <c r="AA33" s="172">
        <f t="shared" si="23"/>
        <v>6037115044.458827</v>
      </c>
    </row>
    <row r="34" spans="1:27" x14ac:dyDescent="0.25">
      <c r="A34" s="168" t="s">
        <v>6</v>
      </c>
      <c r="B34" s="49">
        <f t="shared" si="19"/>
        <v>0.03</v>
      </c>
      <c r="C34" s="169">
        <v>0</v>
      </c>
      <c r="D34" s="169">
        <v>0</v>
      </c>
      <c r="E34" s="169">
        <v>0</v>
      </c>
      <c r="F34" s="169">
        <v>0</v>
      </c>
      <c r="G34" s="169">
        <v>0</v>
      </c>
      <c r="H34" s="169">
        <v>0</v>
      </c>
      <c r="I34" s="171">
        <v>0</v>
      </c>
      <c r="J34" s="172">
        <v>0</v>
      </c>
      <c r="K34" s="172">
        <v>0</v>
      </c>
      <c r="L34" s="172">
        <v>0</v>
      </c>
      <c r="M34" s="172">
        <v>0</v>
      </c>
      <c r="N34" s="172">
        <v>0</v>
      </c>
      <c r="O34" s="172">
        <v>0</v>
      </c>
      <c r="P34" s="172">
        <v>0</v>
      </c>
      <c r="Q34" s="172">
        <v>0</v>
      </c>
      <c r="R34" s="172">
        <v>0</v>
      </c>
      <c r="S34" s="172">
        <v>0</v>
      </c>
      <c r="T34" s="172">
        <v>0</v>
      </c>
      <c r="U34" s="172">
        <v>0</v>
      </c>
      <c r="V34" s="172">
        <v>0</v>
      </c>
      <c r="W34" s="172">
        <v>0</v>
      </c>
      <c r="X34" s="172">
        <v>0</v>
      </c>
      <c r="Y34" s="172">
        <v>0</v>
      </c>
      <c r="Z34" s="172">
        <v>0</v>
      </c>
      <c r="AA34" s="172">
        <v>0</v>
      </c>
    </row>
    <row r="35" spans="1:27" x14ac:dyDescent="0.25">
      <c r="A35" s="168" t="s">
        <v>7</v>
      </c>
      <c r="B35" s="49">
        <f t="shared" si="19"/>
        <v>0.03</v>
      </c>
      <c r="C35" s="169">
        <v>0</v>
      </c>
      <c r="D35" s="169">
        <v>0</v>
      </c>
      <c r="E35" s="169">
        <v>0</v>
      </c>
      <c r="F35" s="169">
        <v>0</v>
      </c>
      <c r="G35" s="169">
        <v>0</v>
      </c>
      <c r="H35" s="169">
        <v>0</v>
      </c>
      <c r="I35" s="171">
        <f>H35+H35*$B$35</f>
        <v>0</v>
      </c>
      <c r="J35" s="172">
        <f t="shared" ref="J35:AA35" si="24">I35+I35*$B$35</f>
        <v>0</v>
      </c>
      <c r="K35" s="172">
        <f t="shared" si="24"/>
        <v>0</v>
      </c>
      <c r="L35" s="172">
        <f t="shared" si="24"/>
        <v>0</v>
      </c>
      <c r="M35" s="172">
        <f t="shared" si="24"/>
        <v>0</v>
      </c>
      <c r="N35" s="172">
        <f t="shared" si="24"/>
        <v>0</v>
      </c>
      <c r="O35" s="172">
        <f t="shared" si="24"/>
        <v>0</v>
      </c>
      <c r="P35" s="172">
        <f t="shared" si="24"/>
        <v>0</v>
      </c>
      <c r="Q35" s="172">
        <f t="shared" si="24"/>
        <v>0</v>
      </c>
      <c r="R35" s="172">
        <f t="shared" si="24"/>
        <v>0</v>
      </c>
      <c r="S35" s="172">
        <f t="shared" si="24"/>
        <v>0</v>
      </c>
      <c r="T35" s="172">
        <f t="shared" si="24"/>
        <v>0</v>
      </c>
      <c r="U35" s="172">
        <f t="shared" si="24"/>
        <v>0</v>
      </c>
      <c r="V35" s="172">
        <f t="shared" si="24"/>
        <v>0</v>
      </c>
      <c r="W35" s="172">
        <f t="shared" si="24"/>
        <v>0</v>
      </c>
      <c r="X35" s="172">
        <f t="shared" si="24"/>
        <v>0</v>
      </c>
      <c r="Y35" s="172">
        <f t="shared" si="24"/>
        <v>0</v>
      </c>
      <c r="Z35" s="172">
        <f t="shared" si="24"/>
        <v>0</v>
      </c>
      <c r="AA35" s="172">
        <f t="shared" si="24"/>
        <v>0</v>
      </c>
    </row>
    <row r="36" spans="1:27" x14ac:dyDescent="0.25">
      <c r="A36" s="168" t="s">
        <v>8</v>
      </c>
      <c r="B36" s="49">
        <f t="shared" si="19"/>
        <v>0.03</v>
      </c>
      <c r="C36" s="169">
        <v>656296844.2727741</v>
      </c>
      <c r="D36" s="169">
        <v>381433513.30910313</v>
      </c>
      <c r="E36" s="169">
        <v>324041728.74222887</v>
      </c>
      <c r="F36" s="169">
        <v>238554190.60261664</v>
      </c>
      <c r="G36" s="169">
        <v>3493612027.3846097</v>
      </c>
      <c r="H36" s="169">
        <v>1857179421.4362791</v>
      </c>
      <c r="I36" s="169">
        <v>1842291509.3179169</v>
      </c>
      <c r="J36" s="171">
        <f>I36+I36*$B$36</f>
        <v>1897560254.5974543</v>
      </c>
      <c r="K36" s="172">
        <f t="shared" ref="K36:AA36" si="25">J36+J36*$B$36</f>
        <v>1954487062.235378</v>
      </c>
      <c r="L36" s="172">
        <f t="shared" si="25"/>
        <v>2013121674.1024394</v>
      </c>
      <c r="M36" s="172">
        <f t="shared" si="25"/>
        <v>2073515324.3255126</v>
      </c>
      <c r="N36" s="172">
        <f t="shared" si="25"/>
        <v>2135720784.0552781</v>
      </c>
      <c r="O36" s="172">
        <f t="shared" si="25"/>
        <v>2199792407.5769362</v>
      </c>
      <c r="P36" s="172">
        <f t="shared" si="25"/>
        <v>2265786179.8042445</v>
      </c>
      <c r="Q36" s="172">
        <f t="shared" si="25"/>
        <v>2333759765.1983719</v>
      </c>
      <c r="R36" s="172">
        <f t="shared" si="25"/>
        <v>2403772558.1543231</v>
      </c>
      <c r="S36" s="172">
        <f t="shared" si="25"/>
        <v>2475885734.898953</v>
      </c>
      <c r="T36" s="172">
        <f t="shared" si="25"/>
        <v>2550162306.9459214</v>
      </c>
      <c r="U36" s="172">
        <f t="shared" si="25"/>
        <v>2626667176.1542993</v>
      </c>
      <c r="V36" s="172">
        <f t="shared" si="25"/>
        <v>2705467191.4389281</v>
      </c>
      <c r="W36" s="172">
        <f t="shared" si="25"/>
        <v>2786631207.182096</v>
      </c>
      <c r="X36" s="172">
        <f t="shared" si="25"/>
        <v>2870230143.3975587</v>
      </c>
      <c r="Y36" s="172">
        <f t="shared" si="25"/>
        <v>2956337047.6994853</v>
      </c>
      <c r="Z36" s="172">
        <f t="shared" si="25"/>
        <v>3045027159.1304698</v>
      </c>
      <c r="AA36" s="172">
        <f t="shared" si="25"/>
        <v>3136377973.9043837</v>
      </c>
    </row>
    <row r="37" spans="1:27" x14ac:dyDescent="0.25">
      <c r="A37" s="168" t="s">
        <v>10</v>
      </c>
      <c r="B37" s="49">
        <f t="shared" si="19"/>
        <v>0.03</v>
      </c>
      <c r="C37" s="169">
        <v>0</v>
      </c>
      <c r="D37" s="169">
        <v>0</v>
      </c>
      <c r="E37" s="169">
        <v>0</v>
      </c>
      <c r="F37" s="169">
        <v>0</v>
      </c>
      <c r="G37" s="169">
        <v>0</v>
      </c>
      <c r="H37" s="169">
        <v>0</v>
      </c>
      <c r="I37" s="169">
        <v>0</v>
      </c>
      <c r="J37" s="171">
        <f>I37+I37*$B$36</f>
        <v>0</v>
      </c>
      <c r="K37" s="172">
        <f t="shared" ref="K37:AA37" si="26">J37+J37*$B$36</f>
        <v>0</v>
      </c>
      <c r="L37" s="172">
        <f t="shared" si="26"/>
        <v>0</v>
      </c>
      <c r="M37" s="172">
        <f t="shared" si="26"/>
        <v>0</v>
      </c>
      <c r="N37" s="172">
        <f t="shared" si="26"/>
        <v>0</v>
      </c>
      <c r="O37" s="172">
        <f t="shared" si="26"/>
        <v>0</v>
      </c>
      <c r="P37" s="172">
        <f t="shared" si="26"/>
        <v>0</v>
      </c>
      <c r="Q37" s="172">
        <f t="shared" si="26"/>
        <v>0</v>
      </c>
      <c r="R37" s="172">
        <f t="shared" si="26"/>
        <v>0</v>
      </c>
      <c r="S37" s="172">
        <f t="shared" si="26"/>
        <v>0</v>
      </c>
      <c r="T37" s="172">
        <f t="shared" si="26"/>
        <v>0</v>
      </c>
      <c r="U37" s="172">
        <f t="shared" si="26"/>
        <v>0</v>
      </c>
      <c r="V37" s="172">
        <f t="shared" si="26"/>
        <v>0</v>
      </c>
      <c r="W37" s="172">
        <f t="shared" si="26"/>
        <v>0</v>
      </c>
      <c r="X37" s="172">
        <f t="shared" si="26"/>
        <v>0</v>
      </c>
      <c r="Y37" s="172">
        <f t="shared" si="26"/>
        <v>0</v>
      </c>
      <c r="Z37" s="172">
        <f t="shared" si="26"/>
        <v>0</v>
      </c>
      <c r="AA37" s="172">
        <f t="shared" si="26"/>
        <v>0</v>
      </c>
    </row>
    <row r="38" spans="1:27" x14ac:dyDescent="0.25">
      <c r="A38" s="168"/>
      <c r="B38" s="49">
        <f>B24</f>
        <v>0.03</v>
      </c>
      <c r="C38" s="169"/>
      <c r="D38" s="169"/>
      <c r="E38" s="169"/>
      <c r="F38" s="169"/>
      <c r="G38" s="169"/>
      <c r="H38" s="169"/>
      <c r="I38" s="169"/>
      <c r="J38" s="169"/>
      <c r="K38" s="169"/>
    </row>
    <row r="39" spans="1:27" x14ac:dyDescent="0.25">
      <c r="A39" s="168"/>
      <c r="B39" s="169"/>
      <c r="C39" s="169"/>
      <c r="D39" s="169"/>
      <c r="E39" s="169"/>
      <c r="F39" s="169"/>
      <c r="G39" s="169"/>
      <c r="H39" s="169"/>
      <c r="I39" s="169"/>
      <c r="J39" s="169"/>
    </row>
    <row r="40" spans="1:27" x14ac:dyDescent="0.25">
      <c r="A40" s="168"/>
      <c r="B40" s="168"/>
      <c r="C40" s="168"/>
      <c r="D40" s="168"/>
      <c r="E40" s="168"/>
      <c r="F40" s="168"/>
      <c r="G40" s="168"/>
      <c r="H40" s="168"/>
      <c r="I40" s="168"/>
      <c r="J40" s="168"/>
    </row>
    <row r="41" spans="1:27" ht="23.25" x14ac:dyDescent="0.35">
      <c r="A41" s="249" t="s">
        <v>191</v>
      </c>
      <c r="B41" s="249"/>
      <c r="C41" s="249"/>
      <c r="D41" s="168"/>
      <c r="E41" s="168"/>
      <c r="F41" s="168"/>
      <c r="G41" s="168"/>
      <c r="H41" s="168"/>
      <c r="I41" s="168"/>
      <c r="J41" s="168"/>
    </row>
    <row r="42" spans="1:27" x14ac:dyDescent="0.25">
      <c r="A42" s="168" t="s">
        <v>161</v>
      </c>
      <c r="C42" s="168">
        <v>2006</v>
      </c>
      <c r="D42" s="168">
        <v>2007</v>
      </c>
      <c r="E42" s="168">
        <v>2008</v>
      </c>
      <c r="F42" s="168">
        <v>2009</v>
      </c>
      <c r="G42" s="168">
        <v>2010</v>
      </c>
      <c r="H42" s="168">
        <v>2011</v>
      </c>
      <c r="I42" s="168">
        <v>2012</v>
      </c>
      <c r="J42" s="168">
        <v>2013</v>
      </c>
      <c r="K42" s="168">
        <v>2014</v>
      </c>
      <c r="L42" s="168">
        <v>2015</v>
      </c>
      <c r="M42" s="168">
        <v>2016</v>
      </c>
      <c r="N42" s="168">
        <v>2017</v>
      </c>
      <c r="O42" s="168">
        <v>2018</v>
      </c>
      <c r="P42" s="168">
        <v>2019</v>
      </c>
      <c r="Q42" s="168">
        <v>2020</v>
      </c>
      <c r="R42" s="168">
        <v>2021</v>
      </c>
      <c r="S42" s="168">
        <v>2022</v>
      </c>
      <c r="T42" s="168">
        <v>2023</v>
      </c>
      <c r="U42" s="168">
        <v>2024</v>
      </c>
      <c r="V42" s="168">
        <v>2025</v>
      </c>
      <c r="W42" s="168">
        <v>2026</v>
      </c>
      <c r="X42" s="168">
        <v>2027</v>
      </c>
      <c r="Y42" s="168">
        <v>2028</v>
      </c>
      <c r="Z42" s="168">
        <v>2029</v>
      </c>
      <c r="AA42" s="168">
        <v>2030</v>
      </c>
    </row>
    <row r="43" spans="1:27" x14ac:dyDescent="0.25">
      <c r="A43" s="168" t="s">
        <v>1</v>
      </c>
      <c r="B43" s="49">
        <f>B29</f>
        <v>0.03</v>
      </c>
      <c r="C43" s="169">
        <v>0</v>
      </c>
      <c r="D43" s="169">
        <v>0</v>
      </c>
      <c r="E43" s="169">
        <v>0</v>
      </c>
      <c r="F43" s="169">
        <v>0</v>
      </c>
      <c r="G43" s="169">
        <v>0</v>
      </c>
      <c r="H43" s="169">
        <v>0</v>
      </c>
      <c r="I43" s="169">
        <v>0</v>
      </c>
      <c r="J43" s="169">
        <v>0</v>
      </c>
      <c r="K43" s="169">
        <v>0</v>
      </c>
      <c r="L43" s="87">
        <f>K43+K43*$B$43</f>
        <v>0</v>
      </c>
      <c r="M43" s="88">
        <f t="shared" ref="M43:AA43" si="27">L43+L43*$B$43</f>
        <v>0</v>
      </c>
      <c r="N43" s="88">
        <f t="shared" si="27"/>
        <v>0</v>
      </c>
      <c r="O43" s="88">
        <f t="shared" si="27"/>
        <v>0</v>
      </c>
      <c r="P43" s="88">
        <f t="shared" si="27"/>
        <v>0</v>
      </c>
      <c r="Q43" s="88">
        <f t="shared" si="27"/>
        <v>0</v>
      </c>
      <c r="R43" s="88">
        <f t="shared" si="27"/>
        <v>0</v>
      </c>
      <c r="S43" s="88">
        <f t="shared" si="27"/>
        <v>0</v>
      </c>
      <c r="T43" s="88">
        <f t="shared" si="27"/>
        <v>0</v>
      </c>
      <c r="U43" s="88">
        <f t="shared" si="27"/>
        <v>0</v>
      </c>
      <c r="V43" s="88">
        <f t="shared" si="27"/>
        <v>0</v>
      </c>
      <c r="W43" s="88">
        <f t="shared" si="27"/>
        <v>0</v>
      </c>
      <c r="X43" s="88">
        <f t="shared" si="27"/>
        <v>0</v>
      </c>
      <c r="Y43" s="88">
        <f t="shared" si="27"/>
        <v>0</v>
      </c>
      <c r="Z43" s="88">
        <f t="shared" si="27"/>
        <v>0</v>
      </c>
      <c r="AA43" s="88">
        <f t="shared" si="27"/>
        <v>0</v>
      </c>
    </row>
    <row r="44" spans="1:27" x14ac:dyDescent="0.25">
      <c r="A44" s="168" t="s">
        <v>2</v>
      </c>
      <c r="B44" s="49">
        <f t="shared" ref="B44:B52" si="28">B30</f>
        <v>0.03</v>
      </c>
      <c r="C44" s="169">
        <v>764738900</v>
      </c>
      <c r="D44" s="169">
        <v>642928900</v>
      </c>
      <c r="E44" s="169">
        <v>900113100</v>
      </c>
      <c r="F44" s="169">
        <v>870731300</v>
      </c>
      <c r="G44" s="169">
        <v>1651046200</v>
      </c>
      <c r="H44" s="169">
        <v>1739303700</v>
      </c>
      <c r="I44" s="169">
        <v>1039741200</v>
      </c>
      <c r="J44" s="169">
        <v>1069974700</v>
      </c>
      <c r="K44" s="169">
        <v>1875293300</v>
      </c>
      <c r="L44" s="87">
        <f>K44+K44*$B$44</f>
        <v>1931552099</v>
      </c>
      <c r="M44" s="88">
        <f t="shared" ref="M44:AA44" si="29">L44+L44*$B$44</f>
        <v>1989498661.97</v>
      </c>
      <c r="N44" s="88">
        <f t="shared" si="29"/>
        <v>2049183621.8291001</v>
      </c>
      <c r="O44" s="88">
        <f t="shared" si="29"/>
        <v>2110659130.483973</v>
      </c>
      <c r="P44" s="88">
        <f t="shared" si="29"/>
        <v>2173978904.3984923</v>
      </c>
      <c r="Q44" s="88">
        <f t="shared" si="29"/>
        <v>2239198271.530447</v>
      </c>
      <c r="R44" s="88">
        <f t="shared" si="29"/>
        <v>2306374219.6763606</v>
      </c>
      <c r="S44" s="88">
        <f t="shared" si="29"/>
        <v>2375565446.2666516</v>
      </c>
      <c r="T44" s="88">
        <f t="shared" si="29"/>
        <v>2446832409.6546512</v>
      </c>
      <c r="U44" s="88">
        <f t="shared" si="29"/>
        <v>2520237381.9442906</v>
      </c>
      <c r="V44" s="88">
        <f t="shared" si="29"/>
        <v>2595844503.4026194</v>
      </c>
      <c r="W44" s="88">
        <f t="shared" si="29"/>
        <v>2673719838.5046978</v>
      </c>
      <c r="X44" s="88">
        <f t="shared" si="29"/>
        <v>2753931433.6598387</v>
      </c>
      <c r="Y44" s="88">
        <f t="shared" si="29"/>
        <v>2836549376.6696339</v>
      </c>
      <c r="Z44" s="88">
        <f t="shared" si="29"/>
        <v>2921645857.9697227</v>
      </c>
      <c r="AA44" s="88">
        <f t="shared" si="29"/>
        <v>3009295233.7088146</v>
      </c>
    </row>
    <row r="45" spans="1:27" x14ac:dyDescent="0.25">
      <c r="A45" s="168" t="s">
        <v>3</v>
      </c>
      <c r="B45" s="49">
        <f t="shared" si="28"/>
        <v>0.03</v>
      </c>
      <c r="C45" s="169">
        <v>0</v>
      </c>
      <c r="D45" s="169">
        <v>0</v>
      </c>
      <c r="E45" s="169">
        <v>0</v>
      </c>
      <c r="F45" s="169">
        <v>0</v>
      </c>
      <c r="G45" s="169">
        <v>0</v>
      </c>
      <c r="H45" s="169">
        <v>0</v>
      </c>
      <c r="I45" s="169">
        <v>0</v>
      </c>
      <c r="J45" s="87">
        <f>I45+I45*$B$45</f>
        <v>0</v>
      </c>
      <c r="K45" s="88">
        <f t="shared" ref="K45:AA45" si="30">J45+J45*$B$45</f>
        <v>0</v>
      </c>
      <c r="L45" s="88">
        <f t="shared" si="30"/>
        <v>0</v>
      </c>
      <c r="M45" s="88">
        <f t="shared" si="30"/>
        <v>0</v>
      </c>
      <c r="N45" s="88">
        <f t="shared" si="30"/>
        <v>0</v>
      </c>
      <c r="O45" s="88">
        <f t="shared" si="30"/>
        <v>0</v>
      </c>
      <c r="P45" s="88">
        <f t="shared" si="30"/>
        <v>0</v>
      </c>
      <c r="Q45" s="88">
        <f t="shared" si="30"/>
        <v>0</v>
      </c>
      <c r="R45" s="88">
        <f t="shared" si="30"/>
        <v>0</v>
      </c>
      <c r="S45" s="88">
        <f t="shared" si="30"/>
        <v>0</v>
      </c>
      <c r="T45" s="88">
        <f t="shared" si="30"/>
        <v>0</v>
      </c>
      <c r="U45" s="88">
        <f t="shared" si="30"/>
        <v>0</v>
      </c>
      <c r="V45" s="88">
        <f t="shared" si="30"/>
        <v>0</v>
      </c>
      <c r="W45" s="88">
        <f t="shared" si="30"/>
        <v>0</v>
      </c>
      <c r="X45" s="88">
        <f t="shared" si="30"/>
        <v>0</v>
      </c>
      <c r="Y45" s="88">
        <f t="shared" si="30"/>
        <v>0</v>
      </c>
      <c r="Z45" s="88">
        <f t="shared" si="30"/>
        <v>0</v>
      </c>
      <c r="AA45" s="88">
        <f t="shared" si="30"/>
        <v>0</v>
      </c>
    </row>
    <row r="46" spans="1:27" x14ac:dyDescent="0.25">
      <c r="A46" s="168" t="s">
        <v>4</v>
      </c>
      <c r="B46" s="49">
        <f t="shared" si="28"/>
        <v>0.03</v>
      </c>
      <c r="C46" s="169">
        <v>0</v>
      </c>
      <c r="D46" s="169">
        <v>0</v>
      </c>
      <c r="E46" s="169">
        <v>0</v>
      </c>
      <c r="F46" s="169">
        <v>0</v>
      </c>
      <c r="G46" s="169">
        <v>0</v>
      </c>
      <c r="H46" s="87">
        <f>G46+G46*$B$46</f>
        <v>0</v>
      </c>
      <c r="I46" s="88">
        <f t="shared" ref="I46:AA46" si="31">H46+H46*$B$46</f>
        <v>0</v>
      </c>
      <c r="J46" s="88">
        <f t="shared" si="31"/>
        <v>0</v>
      </c>
      <c r="K46" s="88">
        <f t="shared" si="31"/>
        <v>0</v>
      </c>
      <c r="L46" s="88">
        <f t="shared" si="31"/>
        <v>0</v>
      </c>
      <c r="M46" s="88">
        <f t="shared" si="31"/>
        <v>0</v>
      </c>
      <c r="N46" s="88">
        <f t="shared" si="31"/>
        <v>0</v>
      </c>
      <c r="O46" s="88">
        <f t="shared" si="31"/>
        <v>0</v>
      </c>
      <c r="P46" s="88">
        <f t="shared" si="31"/>
        <v>0</v>
      </c>
      <c r="Q46" s="88">
        <f t="shared" si="31"/>
        <v>0</v>
      </c>
      <c r="R46" s="88">
        <f t="shared" si="31"/>
        <v>0</v>
      </c>
      <c r="S46" s="88">
        <f t="shared" si="31"/>
        <v>0</v>
      </c>
      <c r="T46" s="88">
        <f t="shared" si="31"/>
        <v>0</v>
      </c>
      <c r="U46" s="88">
        <f t="shared" si="31"/>
        <v>0</v>
      </c>
      <c r="V46" s="88">
        <f t="shared" si="31"/>
        <v>0</v>
      </c>
      <c r="W46" s="88">
        <f t="shared" si="31"/>
        <v>0</v>
      </c>
      <c r="X46" s="88">
        <f t="shared" si="31"/>
        <v>0</v>
      </c>
      <c r="Y46" s="88">
        <f t="shared" si="31"/>
        <v>0</v>
      </c>
      <c r="Z46" s="88">
        <f t="shared" si="31"/>
        <v>0</v>
      </c>
      <c r="AA46" s="88">
        <f t="shared" si="31"/>
        <v>0</v>
      </c>
    </row>
    <row r="47" spans="1:27" x14ac:dyDescent="0.25">
      <c r="A47" s="168" t="s">
        <v>5</v>
      </c>
      <c r="B47" s="49">
        <f t="shared" si="28"/>
        <v>0.03</v>
      </c>
      <c r="C47" s="169">
        <v>0</v>
      </c>
      <c r="D47" s="169">
        <v>0</v>
      </c>
      <c r="E47" s="169">
        <v>0</v>
      </c>
      <c r="F47" s="169">
        <v>0</v>
      </c>
      <c r="G47" s="169">
        <v>0</v>
      </c>
      <c r="H47" s="169">
        <v>0</v>
      </c>
      <c r="I47" s="169">
        <v>0</v>
      </c>
      <c r="J47" s="172">
        <v>0</v>
      </c>
      <c r="K47" s="88">
        <f>J47+J47*$B$47</f>
        <v>0</v>
      </c>
      <c r="L47" s="88">
        <f t="shared" ref="L47:AA47" si="32">K47+K47*$B$47</f>
        <v>0</v>
      </c>
      <c r="M47" s="88">
        <f t="shared" si="32"/>
        <v>0</v>
      </c>
      <c r="N47" s="88">
        <f t="shared" si="32"/>
        <v>0</v>
      </c>
      <c r="O47" s="88">
        <f t="shared" si="32"/>
        <v>0</v>
      </c>
      <c r="P47" s="88">
        <f t="shared" si="32"/>
        <v>0</v>
      </c>
      <c r="Q47" s="88">
        <f t="shared" si="32"/>
        <v>0</v>
      </c>
      <c r="R47" s="88">
        <f t="shared" si="32"/>
        <v>0</v>
      </c>
      <c r="S47" s="88">
        <f t="shared" si="32"/>
        <v>0</v>
      </c>
      <c r="T47" s="88">
        <f t="shared" si="32"/>
        <v>0</v>
      </c>
      <c r="U47" s="88">
        <f t="shared" si="32"/>
        <v>0</v>
      </c>
      <c r="V47" s="88">
        <f t="shared" si="32"/>
        <v>0</v>
      </c>
      <c r="W47" s="88">
        <f t="shared" si="32"/>
        <v>0</v>
      </c>
      <c r="X47" s="88">
        <f t="shared" si="32"/>
        <v>0</v>
      </c>
      <c r="Y47" s="88">
        <f t="shared" si="32"/>
        <v>0</v>
      </c>
      <c r="Z47" s="88">
        <f t="shared" si="32"/>
        <v>0</v>
      </c>
      <c r="AA47" s="88">
        <f t="shared" si="32"/>
        <v>0</v>
      </c>
    </row>
    <row r="48" spans="1:27" x14ac:dyDescent="0.25">
      <c r="A48" s="168" t="s">
        <v>6</v>
      </c>
      <c r="B48" s="49">
        <f t="shared" si="28"/>
        <v>0.03</v>
      </c>
      <c r="C48" s="169">
        <v>12316220000</v>
      </c>
      <c r="D48" s="169">
        <v>15536060000</v>
      </c>
      <c r="E48" s="169">
        <v>22311560000</v>
      </c>
      <c r="F48" s="169">
        <v>31458670000</v>
      </c>
      <c r="G48" s="169">
        <v>29857270000</v>
      </c>
      <c r="H48" s="169">
        <v>31610270000</v>
      </c>
      <c r="I48" s="87">
        <f>H48+H48*$B$48</f>
        <v>32558578100</v>
      </c>
      <c r="J48" s="88">
        <f t="shared" ref="J48:AA48" si="33">I48+I48*$B$48</f>
        <v>33535335443</v>
      </c>
      <c r="K48" s="88">
        <f t="shared" si="33"/>
        <v>34541395506.290001</v>
      </c>
      <c r="L48" s="88">
        <f t="shared" si="33"/>
        <v>35577637371.478699</v>
      </c>
      <c r="M48" s="88">
        <f t="shared" si="33"/>
        <v>36644966492.623062</v>
      </c>
      <c r="N48" s="88">
        <f t="shared" si="33"/>
        <v>37744315487.401756</v>
      </c>
      <c r="O48" s="88">
        <f t="shared" si="33"/>
        <v>38876644952.023811</v>
      </c>
      <c r="P48" s="88">
        <f t="shared" si="33"/>
        <v>40042944300.584526</v>
      </c>
      <c r="Q48" s="88">
        <f t="shared" si="33"/>
        <v>41244232629.602058</v>
      </c>
      <c r="R48" s="88">
        <f t="shared" si="33"/>
        <v>42481559608.49012</v>
      </c>
      <c r="S48" s="88">
        <f t="shared" si="33"/>
        <v>43756006396.744827</v>
      </c>
      <c r="T48" s="88">
        <f t="shared" si="33"/>
        <v>45068686588.647171</v>
      </c>
      <c r="U48" s="88">
        <f t="shared" si="33"/>
        <v>46420747186.306587</v>
      </c>
      <c r="V48" s="88">
        <f t="shared" si="33"/>
        <v>47813369601.895782</v>
      </c>
      <c r="W48" s="88">
        <f t="shared" si="33"/>
        <v>49247770689.952652</v>
      </c>
      <c r="X48" s="88">
        <f t="shared" si="33"/>
        <v>50725203810.65123</v>
      </c>
      <c r="Y48" s="88">
        <f t="shared" si="33"/>
        <v>52246959924.970764</v>
      </c>
      <c r="Z48" s="88">
        <f t="shared" si="33"/>
        <v>53814368722.719887</v>
      </c>
      <c r="AA48" s="88">
        <f t="shared" si="33"/>
        <v>55428799784.401482</v>
      </c>
    </row>
    <row r="49" spans="1:27" x14ac:dyDescent="0.25">
      <c r="A49" s="168" t="s">
        <v>7</v>
      </c>
      <c r="B49" s="49">
        <f t="shared" si="28"/>
        <v>0.03</v>
      </c>
      <c r="C49" s="169">
        <v>61327282.420995735</v>
      </c>
      <c r="D49" s="169">
        <v>91284432.775407493</v>
      </c>
      <c r="E49" s="169">
        <v>196030039.29544011</v>
      </c>
      <c r="F49" s="170">
        <v>191781711.87266523</v>
      </c>
      <c r="G49" s="170">
        <v>226468851.8699145</v>
      </c>
      <c r="H49" s="169">
        <v>187447978.62515342</v>
      </c>
      <c r="I49" s="87">
        <f>H49+H49*$B$49</f>
        <v>193071417.98390803</v>
      </c>
      <c r="J49" s="88">
        <f t="shared" ref="J49:AA49" si="34">I49+I49*$B$49</f>
        <v>198863560.52342528</v>
      </c>
      <c r="K49" s="88">
        <f t="shared" si="34"/>
        <v>204829467.33912805</v>
      </c>
      <c r="L49" s="88">
        <f t="shared" si="34"/>
        <v>210974351.35930189</v>
      </c>
      <c r="M49" s="88">
        <f t="shared" si="34"/>
        <v>217303581.90008095</v>
      </c>
      <c r="N49" s="88">
        <f t="shared" si="34"/>
        <v>223822689.35708338</v>
      </c>
      <c r="O49" s="88">
        <f t="shared" si="34"/>
        <v>230537370.03779587</v>
      </c>
      <c r="P49" s="88">
        <f t="shared" si="34"/>
        <v>237453491.13892975</v>
      </c>
      <c r="Q49" s="88">
        <f t="shared" si="34"/>
        <v>244577095.87309766</v>
      </c>
      <c r="R49" s="88">
        <f t="shared" si="34"/>
        <v>251914408.74929059</v>
      </c>
      <c r="S49" s="88">
        <f t="shared" si="34"/>
        <v>259471841.01176929</v>
      </c>
      <c r="T49" s="88">
        <f t="shared" si="34"/>
        <v>267255996.24212238</v>
      </c>
      <c r="U49" s="88">
        <f t="shared" si="34"/>
        <v>275273676.12938607</v>
      </c>
      <c r="V49" s="88">
        <f t="shared" si="34"/>
        <v>283531886.41326767</v>
      </c>
      <c r="W49" s="88">
        <f t="shared" si="34"/>
        <v>292037843.00566572</v>
      </c>
      <c r="X49" s="88">
        <f t="shared" si="34"/>
        <v>300798978.29583567</v>
      </c>
      <c r="Y49" s="88">
        <f t="shared" si="34"/>
        <v>309822947.64471072</v>
      </c>
      <c r="Z49" s="88">
        <f t="shared" si="34"/>
        <v>319117636.07405204</v>
      </c>
      <c r="AA49" s="88">
        <f t="shared" si="34"/>
        <v>328691165.1562736</v>
      </c>
    </row>
    <row r="50" spans="1:27" x14ac:dyDescent="0.25">
      <c r="A50" s="168" t="s">
        <v>8</v>
      </c>
      <c r="B50" s="49">
        <f t="shared" si="28"/>
        <v>0.03</v>
      </c>
      <c r="C50" s="169">
        <v>0</v>
      </c>
      <c r="D50" s="169">
        <v>0</v>
      </c>
      <c r="E50" s="169">
        <v>0</v>
      </c>
      <c r="F50" s="169">
        <v>0</v>
      </c>
      <c r="G50" s="169">
        <v>0</v>
      </c>
      <c r="H50" s="169">
        <v>0</v>
      </c>
      <c r="I50" s="169">
        <v>0</v>
      </c>
      <c r="J50" s="87">
        <f>I50+I50*$B$50</f>
        <v>0</v>
      </c>
      <c r="K50" s="88">
        <f t="shared" ref="K50:AA50" si="35">J50+J50*$B$50</f>
        <v>0</v>
      </c>
      <c r="L50" s="88">
        <f t="shared" si="35"/>
        <v>0</v>
      </c>
      <c r="M50" s="88">
        <f t="shared" si="35"/>
        <v>0</v>
      </c>
      <c r="N50" s="88">
        <f t="shared" si="35"/>
        <v>0</v>
      </c>
      <c r="O50" s="88">
        <f t="shared" si="35"/>
        <v>0</v>
      </c>
      <c r="P50" s="88">
        <f t="shared" si="35"/>
        <v>0</v>
      </c>
      <c r="Q50" s="88">
        <f t="shared" si="35"/>
        <v>0</v>
      </c>
      <c r="R50" s="88">
        <f t="shared" si="35"/>
        <v>0</v>
      </c>
      <c r="S50" s="88">
        <f t="shared" si="35"/>
        <v>0</v>
      </c>
      <c r="T50" s="88">
        <f t="shared" si="35"/>
        <v>0</v>
      </c>
      <c r="U50" s="88">
        <f t="shared" si="35"/>
        <v>0</v>
      </c>
      <c r="V50" s="88">
        <f t="shared" si="35"/>
        <v>0</v>
      </c>
      <c r="W50" s="88">
        <f t="shared" si="35"/>
        <v>0</v>
      </c>
      <c r="X50" s="88">
        <f t="shared" si="35"/>
        <v>0</v>
      </c>
      <c r="Y50" s="88">
        <f t="shared" si="35"/>
        <v>0</v>
      </c>
      <c r="Z50" s="88">
        <f t="shared" si="35"/>
        <v>0</v>
      </c>
      <c r="AA50" s="88">
        <f t="shared" si="35"/>
        <v>0</v>
      </c>
    </row>
    <row r="51" spans="1:27" x14ac:dyDescent="0.25">
      <c r="A51" s="168" t="s">
        <v>10</v>
      </c>
      <c r="B51" s="49">
        <f t="shared" si="28"/>
        <v>0.03</v>
      </c>
      <c r="C51" s="169">
        <v>0</v>
      </c>
      <c r="D51" s="169">
        <v>0</v>
      </c>
      <c r="E51" s="169">
        <v>0</v>
      </c>
      <c r="F51" s="169">
        <v>0</v>
      </c>
      <c r="G51" s="169">
        <v>0</v>
      </c>
      <c r="H51" s="169">
        <v>0</v>
      </c>
      <c r="I51" s="169">
        <v>0</v>
      </c>
      <c r="J51" s="87">
        <f>I51+I51*$B$51</f>
        <v>0</v>
      </c>
      <c r="K51" s="88">
        <f t="shared" ref="K51:AA51" si="36">J51+J51*$B$51</f>
        <v>0</v>
      </c>
      <c r="L51" s="88">
        <f t="shared" si="36"/>
        <v>0</v>
      </c>
      <c r="M51" s="88">
        <f t="shared" si="36"/>
        <v>0</v>
      </c>
      <c r="N51" s="88">
        <f t="shared" si="36"/>
        <v>0</v>
      </c>
      <c r="O51" s="88">
        <f t="shared" si="36"/>
        <v>0</v>
      </c>
      <c r="P51" s="88">
        <f t="shared" si="36"/>
        <v>0</v>
      </c>
      <c r="Q51" s="88">
        <f t="shared" si="36"/>
        <v>0</v>
      </c>
      <c r="R51" s="88">
        <f t="shared" si="36"/>
        <v>0</v>
      </c>
      <c r="S51" s="88">
        <f t="shared" si="36"/>
        <v>0</v>
      </c>
      <c r="T51" s="88">
        <f t="shared" si="36"/>
        <v>0</v>
      </c>
      <c r="U51" s="88">
        <f t="shared" si="36"/>
        <v>0</v>
      </c>
      <c r="V51" s="88">
        <f t="shared" si="36"/>
        <v>0</v>
      </c>
      <c r="W51" s="88">
        <f t="shared" si="36"/>
        <v>0</v>
      </c>
      <c r="X51" s="88">
        <f t="shared" si="36"/>
        <v>0</v>
      </c>
      <c r="Y51" s="88">
        <f t="shared" si="36"/>
        <v>0</v>
      </c>
      <c r="Z51" s="88">
        <f t="shared" si="36"/>
        <v>0</v>
      </c>
      <c r="AA51" s="88">
        <f t="shared" si="36"/>
        <v>0</v>
      </c>
    </row>
    <row r="52" spans="1:27" x14ac:dyDescent="0.25">
      <c r="B52" s="49">
        <f t="shared" si="28"/>
        <v>0.03</v>
      </c>
    </row>
    <row r="55" spans="1:27" x14ac:dyDescent="0.25">
      <c r="C55" s="86"/>
      <c r="D55" s="86"/>
      <c r="E55" s="86"/>
      <c r="F55" s="86"/>
      <c r="G55" s="86"/>
      <c r="H55" s="86"/>
    </row>
  </sheetData>
  <customSheetViews>
    <customSheetView guid="{821D1691-1FA5-412F-8FF4-9E35B3587D16}">
      <selection activeCell="D2" sqref="D2"/>
      <pageMargins left="0.7" right="0.7" top="0.75" bottom="0.75" header="0.3" footer="0.3"/>
    </customSheetView>
  </customSheetViews>
  <mergeCells count="4">
    <mergeCell ref="A1:D1"/>
    <mergeCell ref="A13:D13"/>
    <mergeCell ref="A27:C27"/>
    <mergeCell ref="A41:C4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11"/>
  <sheetViews>
    <sheetView workbookViewId="0">
      <selection activeCell="B3" sqref="B3"/>
    </sheetView>
  </sheetViews>
  <sheetFormatPr defaultRowHeight="15" x14ac:dyDescent="0.25"/>
  <cols>
    <col min="1" max="1" width="23.28515625" bestFit="1" customWidth="1"/>
    <col min="2" max="2" width="22.5703125" customWidth="1"/>
  </cols>
  <sheetData>
    <row r="1" spans="1:4" x14ac:dyDescent="0.5">
      <c r="A1" s="2" t="s">
        <v>0</v>
      </c>
      <c r="B1" t="s">
        <v>17</v>
      </c>
      <c r="C1" t="s">
        <v>436</v>
      </c>
      <c r="D1" t="s">
        <v>437</v>
      </c>
    </row>
    <row r="2" spans="1:4" x14ac:dyDescent="0.5">
      <c r="A2" t="s">
        <v>1</v>
      </c>
      <c r="B2" s="55">
        <v>448112400.13125348</v>
      </c>
      <c r="C2" s="164">
        <v>0.05</v>
      </c>
      <c r="D2" s="164">
        <f>C2</f>
        <v>0.05</v>
      </c>
    </row>
    <row r="3" spans="1:4" x14ac:dyDescent="0.5">
      <c r="A3" t="s">
        <v>2</v>
      </c>
      <c r="B3" s="55">
        <v>912105150</v>
      </c>
      <c r="C3" s="164">
        <v>0.1</v>
      </c>
      <c r="D3" s="164">
        <f t="shared" ref="D3:D10" si="0">C3</f>
        <v>0.1</v>
      </c>
    </row>
    <row r="4" spans="1:4" x14ac:dyDescent="0.5">
      <c r="A4" t="s">
        <v>3</v>
      </c>
      <c r="B4" s="55">
        <v>4070857191.1017885</v>
      </c>
      <c r="C4" s="164">
        <v>0.05</v>
      </c>
      <c r="D4" s="164">
        <f t="shared" si="0"/>
        <v>0.05</v>
      </c>
    </row>
    <row r="5" spans="1:4" x14ac:dyDescent="0.5">
      <c r="A5" t="s">
        <v>4</v>
      </c>
      <c r="B5" s="55">
        <v>0</v>
      </c>
      <c r="C5" s="164">
        <v>8.5000000000000006E-2</v>
      </c>
      <c r="D5" s="164">
        <f t="shared" si="0"/>
        <v>8.5000000000000006E-2</v>
      </c>
    </row>
    <row r="6" spans="1:4" x14ac:dyDescent="0.5">
      <c r="A6" t="s">
        <v>5</v>
      </c>
      <c r="B6" s="55">
        <v>94377032795.588074</v>
      </c>
      <c r="C6" s="164">
        <v>0.05</v>
      </c>
      <c r="D6" s="164">
        <f t="shared" si="0"/>
        <v>0.05</v>
      </c>
    </row>
    <row r="7" spans="1:4" x14ac:dyDescent="0.5">
      <c r="A7" t="s">
        <v>6</v>
      </c>
      <c r="B7" s="55">
        <v>0</v>
      </c>
      <c r="C7" s="164">
        <v>0.1</v>
      </c>
      <c r="D7" s="164">
        <f t="shared" si="0"/>
        <v>0.1</v>
      </c>
    </row>
    <row r="8" spans="1:4" x14ac:dyDescent="0.5">
      <c r="A8" t="s">
        <v>7</v>
      </c>
      <c r="B8" s="55">
        <v>0</v>
      </c>
      <c r="C8" s="164">
        <v>0.1</v>
      </c>
      <c r="D8" s="164">
        <f t="shared" si="0"/>
        <v>0.1</v>
      </c>
    </row>
    <row r="9" spans="1:4" x14ac:dyDescent="0.5">
      <c r="A9" t="s">
        <v>8</v>
      </c>
      <c r="B9" s="55">
        <v>40297791111.95343</v>
      </c>
      <c r="C9" s="164">
        <v>0.05</v>
      </c>
      <c r="D9" s="164">
        <f t="shared" si="0"/>
        <v>0.05</v>
      </c>
    </row>
    <row r="10" spans="1:4" x14ac:dyDescent="0.5">
      <c r="A10" t="s">
        <v>10</v>
      </c>
      <c r="B10" s="55">
        <v>19100000000</v>
      </c>
      <c r="C10" s="164">
        <v>0.05</v>
      </c>
      <c r="D10" s="164">
        <f t="shared" si="0"/>
        <v>0.05</v>
      </c>
    </row>
    <row r="11" spans="1:4" x14ac:dyDescent="0.5">
      <c r="A11">
        <f>'Custom Member Setup'!$D$3</f>
        <v>0</v>
      </c>
      <c r="B11" s="55">
        <f>'Custom Member Setup'!D6</f>
        <v>0</v>
      </c>
      <c r="C11" s="49">
        <f>'Custom Member Setup'!D4</f>
        <v>0.06</v>
      </c>
      <c r="D11" s="49">
        <f>'Custom Member Setup'!D5</f>
        <v>0.04</v>
      </c>
    </row>
  </sheetData>
  <pageMargins left="0.7" right="0.7" top="0.75" bottom="0.75" header="0.3" footer="0.3"/>
  <pageSetup paperSize="9"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H11"/>
  <sheetViews>
    <sheetView workbookViewId="0">
      <selection activeCell="A2" sqref="A2:A11"/>
    </sheetView>
  </sheetViews>
  <sheetFormatPr defaultRowHeight="15" x14ac:dyDescent="0.25"/>
  <cols>
    <col min="1" max="1" width="30.42578125" customWidth="1"/>
    <col min="2" max="2" width="25" customWidth="1"/>
    <col min="3" max="3" width="33.28515625" bestFit="1" customWidth="1"/>
    <col min="4" max="4" width="19.28515625" bestFit="1" customWidth="1"/>
    <col min="5" max="5" width="19.28515625" customWidth="1"/>
    <col min="6" max="6" width="16.5703125" bestFit="1" customWidth="1"/>
    <col min="7" max="7" width="16.5703125" customWidth="1"/>
    <col min="8" max="8" width="14" bestFit="1" customWidth="1"/>
  </cols>
  <sheetData>
    <row r="1" spans="1:8" ht="23.45" x14ac:dyDescent="0.8">
      <c r="A1" s="1">
        <v>2010</v>
      </c>
    </row>
    <row r="2" spans="1:8" ht="14.45" x14ac:dyDescent="0.5">
      <c r="A2" s="2" t="s">
        <v>0</v>
      </c>
      <c r="B2" s="3" t="s">
        <v>12</v>
      </c>
      <c r="C2" t="s">
        <v>11</v>
      </c>
      <c r="D2" t="s">
        <v>13</v>
      </c>
      <c r="E2" t="s">
        <v>17</v>
      </c>
      <c r="F2" t="s">
        <v>14</v>
      </c>
      <c r="G2" t="s">
        <v>16</v>
      </c>
      <c r="H2" t="s">
        <v>15</v>
      </c>
    </row>
    <row r="3" spans="1:8" ht="14.45" x14ac:dyDescent="0.5">
      <c r="A3" t="s">
        <v>1</v>
      </c>
      <c r="B3" s="3">
        <v>31683240000</v>
      </c>
      <c r="C3" s="3">
        <v>56828394.065727562</v>
      </c>
      <c r="D3" s="3">
        <v>0</v>
      </c>
      <c r="E3" s="3">
        <f>(471.86*10^6)/'Currency Conversion'!K55</f>
        <v>448112400.13125348</v>
      </c>
      <c r="F3" s="3">
        <v>56828394.065727562</v>
      </c>
      <c r="G3" s="38">
        <v>0.05</v>
      </c>
      <c r="H3" s="3">
        <v>0</v>
      </c>
    </row>
    <row r="4" spans="1:8" ht="14.45" x14ac:dyDescent="0.5">
      <c r="A4" t="s">
        <v>2</v>
      </c>
      <c r="B4" s="3">
        <v>162547330000</v>
      </c>
      <c r="C4" s="3">
        <v>5106802500</v>
      </c>
      <c r="D4" s="3">
        <v>269018900</v>
      </c>
      <c r="E4" s="3">
        <f>1000*912105.15</f>
        <v>912105150</v>
      </c>
      <c r="F4" s="3">
        <v>3186737400</v>
      </c>
      <c r="G4" s="38">
        <v>0.1</v>
      </c>
      <c r="H4" s="3">
        <v>0</v>
      </c>
    </row>
    <row r="5" spans="1:8" ht="14.45" x14ac:dyDescent="0.5">
      <c r="A5" t="s">
        <v>3</v>
      </c>
      <c r="B5" s="3">
        <v>26167520000</v>
      </c>
      <c r="C5" s="3">
        <v>2942072190.8441753</v>
      </c>
      <c r="D5" s="3">
        <v>465862801.54854691</v>
      </c>
      <c r="E5" s="3">
        <f>(4301*10^6)/'Currency Conversion'!C55</f>
        <v>4070857191.1017885</v>
      </c>
      <c r="F5" s="3">
        <v>2476209389.2956285</v>
      </c>
      <c r="G5" s="38">
        <v>0.05</v>
      </c>
      <c r="H5" s="3">
        <v>0</v>
      </c>
    </row>
    <row r="6" spans="1:8" ht="14.45" x14ac:dyDescent="0.5">
      <c r="A6" t="s">
        <v>4</v>
      </c>
      <c r="B6" s="3">
        <v>887215420000</v>
      </c>
      <c r="C6" s="3">
        <v>18582798362.466812</v>
      </c>
      <c r="D6" s="3">
        <v>0</v>
      </c>
      <c r="E6" s="3">
        <v>0</v>
      </c>
      <c r="F6" s="3">
        <v>18582798362.466812</v>
      </c>
      <c r="G6" s="38">
        <v>8.5000000000000006E-2</v>
      </c>
      <c r="H6" s="3">
        <v>0</v>
      </c>
    </row>
    <row r="7" spans="1:8" ht="14.45" x14ac:dyDescent="0.5">
      <c r="A7" t="s">
        <v>5</v>
      </c>
      <c r="B7" s="3">
        <v>354471320000</v>
      </c>
      <c r="C7" s="3">
        <v>20197477817.669205</v>
      </c>
      <c r="D7" s="3">
        <v>11427786280.64514</v>
      </c>
      <c r="E7" s="3">
        <f>72378*10^6/'Currency Conversion'!E55</f>
        <v>94377032795.588074</v>
      </c>
      <c r="F7" s="3">
        <v>1828002463.1260178</v>
      </c>
      <c r="G7" s="38">
        <v>0.05</v>
      </c>
      <c r="H7" s="3">
        <v>6941689073.8980446</v>
      </c>
    </row>
    <row r="8" spans="1:8" ht="14.45" x14ac:dyDescent="0.5">
      <c r="A8" t="s">
        <v>6</v>
      </c>
      <c r="B8" s="3">
        <v>230630890000</v>
      </c>
      <c r="C8" s="3">
        <v>31587750000</v>
      </c>
      <c r="D8" s="3">
        <v>0</v>
      </c>
      <c r="E8" s="3">
        <v>0</v>
      </c>
      <c r="F8" s="3">
        <v>1730480000</v>
      </c>
      <c r="G8" s="38">
        <v>0.1</v>
      </c>
      <c r="H8" s="3">
        <v>0</v>
      </c>
    </row>
    <row r="9" spans="1:8" ht="14.45" x14ac:dyDescent="0.5">
      <c r="A9" t="s">
        <v>7</v>
      </c>
      <c r="B9" s="3">
        <v>92455690000</v>
      </c>
      <c r="C9" s="3">
        <v>2264688518.6991448</v>
      </c>
      <c r="D9" s="3">
        <v>0</v>
      </c>
      <c r="E9" s="3">
        <v>0</v>
      </c>
      <c r="F9" s="3">
        <v>0</v>
      </c>
      <c r="G9" s="38">
        <v>0.1</v>
      </c>
      <c r="H9" s="3">
        <v>0</v>
      </c>
    </row>
    <row r="10" spans="1:8" ht="14.45" x14ac:dyDescent="0.5">
      <c r="A10" t="s">
        <v>8</v>
      </c>
      <c r="B10" s="3">
        <v>77693690000</v>
      </c>
      <c r="C10" s="3">
        <v>9892631496.259201</v>
      </c>
      <c r="D10" s="3">
        <v>5851593468.8730984</v>
      </c>
      <c r="E10" s="3">
        <f>(3972.9*10^9)/'Currency Conversion'!I55</f>
        <v>40297791111.95343</v>
      </c>
      <c r="F10" s="3">
        <v>929114164.93114197</v>
      </c>
      <c r="G10" s="38">
        <v>0.05</v>
      </c>
      <c r="H10" s="3">
        <v>3111923862.4549603</v>
      </c>
    </row>
    <row r="11" spans="1:8" ht="14.45" x14ac:dyDescent="0.5">
      <c r="A11" t="s">
        <v>10</v>
      </c>
      <c r="B11" s="3">
        <v>275968550000</v>
      </c>
      <c r="C11" s="3">
        <v>9784248000</v>
      </c>
      <c r="D11" s="3">
        <v>4119491000</v>
      </c>
      <c r="E11" s="3">
        <v>19100000000</v>
      </c>
      <c r="F11" s="3">
        <v>5664757000</v>
      </c>
      <c r="G11" s="38">
        <v>0.05</v>
      </c>
      <c r="H11" s="3">
        <v>0</v>
      </c>
    </row>
  </sheetData>
  <customSheetViews>
    <customSheetView guid="{821D1691-1FA5-412F-8FF4-9E35B3587D16}">
      <selection activeCell="E7" sqref="E7"/>
      <pageMargins left="0.7" right="0.7" top="0.75" bottom="0.75" header="0.3" footer="0.3"/>
      <pageSetup paperSize="9" orientation="portrait" horizontalDpi="4294967292" verticalDpi="4294967292" r:id="rId1"/>
    </customSheetView>
  </customSheetViews>
  <pageMargins left="0.7" right="0.7" top="0.75" bottom="0.75" header="0.3" footer="0.3"/>
  <pageSetup paperSize="9" orientation="portrait" horizontalDpi="4294967292" verticalDpi="4294967292"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52"/>
  <sheetViews>
    <sheetView topLeftCell="H1" workbookViewId="0">
      <selection activeCell="T6" sqref="T2:T6"/>
    </sheetView>
  </sheetViews>
  <sheetFormatPr defaultRowHeight="15" x14ac:dyDescent="0.25"/>
  <cols>
    <col min="1" max="1" width="17.7109375" bestFit="1" customWidth="1"/>
    <col min="2" max="2" width="21.28515625" customWidth="1"/>
    <col min="3" max="4" width="23.28515625" bestFit="1" customWidth="1"/>
    <col min="5" max="5" width="19.140625" customWidth="1"/>
    <col min="6" max="6" width="17.7109375" bestFit="1" customWidth="1"/>
    <col min="7" max="7" width="11.7109375" bestFit="1" customWidth="1"/>
    <col min="9" max="9" width="10.7109375" bestFit="1" customWidth="1"/>
    <col min="12" max="12" width="9.7109375" bestFit="1" customWidth="1"/>
    <col min="16" max="16" width="18.42578125" bestFit="1" customWidth="1"/>
    <col min="17" max="17" width="19.5703125" bestFit="1" customWidth="1"/>
    <col min="18" max="18" width="22.28515625" bestFit="1" customWidth="1"/>
    <col min="20" max="20" width="13.7109375" bestFit="1" customWidth="1"/>
  </cols>
  <sheetData>
    <row r="1" spans="1:20" x14ac:dyDescent="0.25">
      <c r="A1" s="39" t="s">
        <v>164</v>
      </c>
      <c r="B1" s="39" t="s">
        <v>166</v>
      </c>
      <c r="C1" s="39" t="s">
        <v>161</v>
      </c>
      <c r="D1" s="39" t="s">
        <v>169</v>
      </c>
      <c r="E1" s="39" t="s">
        <v>170</v>
      </c>
      <c r="F1" s="39" t="s">
        <v>172</v>
      </c>
      <c r="G1" s="39" t="s">
        <v>175</v>
      </c>
      <c r="H1" s="39" t="s">
        <v>176</v>
      </c>
      <c r="I1" s="39" t="s">
        <v>196</v>
      </c>
      <c r="J1" s="39" t="s">
        <v>209</v>
      </c>
      <c r="K1" s="39" t="s">
        <v>210</v>
      </c>
      <c r="L1" s="39" t="s">
        <v>211</v>
      </c>
      <c r="M1" s="39" t="s">
        <v>240</v>
      </c>
      <c r="P1" s="39" t="s">
        <v>243</v>
      </c>
      <c r="Q1" s="39" t="s">
        <v>244</v>
      </c>
      <c r="R1" s="39" t="s">
        <v>427</v>
      </c>
      <c r="S1" s="39" t="s">
        <v>466</v>
      </c>
      <c r="T1" s="39" t="s">
        <v>473</v>
      </c>
    </row>
    <row r="2" spans="1:20" x14ac:dyDescent="0.25">
      <c r="A2" s="48">
        <v>0.01</v>
      </c>
      <c r="B2" t="s">
        <v>159</v>
      </c>
      <c r="C2" t="s">
        <v>1</v>
      </c>
      <c r="D2" t="s">
        <v>1</v>
      </c>
      <c r="E2" t="s">
        <v>2</v>
      </c>
      <c r="F2" s="49">
        <v>-0.2</v>
      </c>
      <c r="G2">
        <v>2013</v>
      </c>
      <c r="H2">
        <v>2006</v>
      </c>
      <c r="I2" t="s">
        <v>197</v>
      </c>
      <c r="J2" t="s">
        <v>212</v>
      </c>
      <c r="K2" t="s">
        <v>221</v>
      </c>
      <c r="L2" t="s">
        <v>212</v>
      </c>
      <c r="M2" t="s">
        <v>170</v>
      </c>
      <c r="P2" t="s">
        <v>245</v>
      </c>
      <c r="Q2" t="str">
        <f>IF(Machine!K12="","","Total Art. 6 Spending")</f>
        <v>Total Art. 6 Spending</v>
      </c>
      <c r="R2" t="s">
        <v>409</v>
      </c>
      <c r="S2" t="s">
        <v>438</v>
      </c>
      <c r="T2" t="s">
        <v>474</v>
      </c>
    </row>
    <row r="3" spans="1:20" x14ac:dyDescent="0.25">
      <c r="A3" s="48">
        <v>0.02</v>
      </c>
      <c r="B3">
        <v>2006</v>
      </c>
      <c r="C3" t="s">
        <v>2</v>
      </c>
      <c r="D3" t="s">
        <v>3</v>
      </c>
      <c r="E3" t="s">
        <v>4</v>
      </c>
      <c r="F3" s="49">
        <v>-0.19</v>
      </c>
      <c r="G3">
        <v>2014</v>
      </c>
      <c r="H3">
        <v>2007</v>
      </c>
      <c r="I3" t="s">
        <v>198</v>
      </c>
      <c r="J3" t="s">
        <v>213</v>
      </c>
      <c r="K3" t="s">
        <v>222</v>
      </c>
      <c r="L3" t="s">
        <v>213</v>
      </c>
      <c r="M3" t="s">
        <v>169</v>
      </c>
      <c r="P3" t="str">
        <f>IF(Machine!D23="","",IF(COUNTBLANK(Machine!D25:D26)=2,"","OTDS Limit"))</f>
        <v>OTDS Limit</v>
      </c>
      <c r="Q3" t="str">
        <f>IF(Machine!K12="","","AMS + DM Spending")</f>
        <v>AMS + DM Spending</v>
      </c>
      <c r="R3" t="s">
        <v>199</v>
      </c>
      <c r="S3" t="s">
        <v>439</v>
      </c>
      <c r="T3" t="s">
        <v>475</v>
      </c>
    </row>
    <row r="4" spans="1:20" x14ac:dyDescent="0.25">
      <c r="A4" s="48">
        <v>0.03</v>
      </c>
      <c r="B4">
        <v>2007</v>
      </c>
      <c r="C4" t="s">
        <v>3</v>
      </c>
      <c r="D4" t="s">
        <v>5</v>
      </c>
      <c r="E4" t="s">
        <v>6</v>
      </c>
      <c r="F4" s="49">
        <v>-0.18</v>
      </c>
      <c r="G4">
        <v>2015</v>
      </c>
      <c r="H4">
        <v>2008</v>
      </c>
      <c r="L4" t="s">
        <v>221</v>
      </c>
      <c r="P4" t="str">
        <f>IF(COUNTBLANK(Machine!D29:D31)=3,"","AoA Modified Limit")</f>
        <v/>
      </c>
      <c r="Q4" t="str">
        <f>IF(P3="","",IF(Machine!K12="","",IF(Machine!K12="OTDS Limit","","OTDS Limit")))</f>
        <v>OTDS Limit</v>
      </c>
      <c r="T4" t="s">
        <v>477</v>
      </c>
    </row>
    <row r="5" spans="1:20" x14ac:dyDescent="0.25">
      <c r="A5" s="48">
        <v>0.04</v>
      </c>
      <c r="B5">
        <v>2008</v>
      </c>
      <c r="C5" t="s">
        <v>4</v>
      </c>
      <c r="D5" t="s">
        <v>8</v>
      </c>
      <c r="E5" t="s">
        <v>7</v>
      </c>
      <c r="F5" s="49">
        <v>-0.17</v>
      </c>
      <c r="G5">
        <v>2016</v>
      </c>
      <c r="H5">
        <v>2009</v>
      </c>
      <c r="L5" t="s">
        <v>222</v>
      </c>
      <c r="Q5" t="str">
        <f>IF(P4="","",IF(Machine!K12="","",IF(Machine!K12="AoA Modified Limit","","AoA Modified Limit")))</f>
        <v/>
      </c>
      <c r="T5" t="s">
        <v>476</v>
      </c>
    </row>
    <row r="6" spans="1:20" x14ac:dyDescent="0.25">
      <c r="A6" s="48">
        <v>0.05</v>
      </c>
      <c r="B6">
        <v>2009</v>
      </c>
      <c r="C6" t="s">
        <v>5</v>
      </c>
      <c r="D6" t="s">
        <v>10</v>
      </c>
      <c r="E6">
        <f>IF('Custom Member Setup'!D7="Developing",'Custom Member Setup'!D3,"")</f>
        <v>0</v>
      </c>
      <c r="F6" s="49">
        <v>-0.16</v>
      </c>
      <c r="G6">
        <v>2017</v>
      </c>
      <c r="H6">
        <v>2010</v>
      </c>
      <c r="T6" t="s">
        <v>482</v>
      </c>
    </row>
    <row r="7" spans="1:20" ht="14.45" x14ac:dyDescent="0.5">
      <c r="A7" s="48">
        <v>0.06</v>
      </c>
      <c r="B7">
        <v>2010</v>
      </c>
      <c r="C7" t="s">
        <v>6</v>
      </c>
      <c r="D7" t="str">
        <f>IF('Custom Member Setup'!D7="Developed",'Custom Member Setup'!D3,"")</f>
        <v/>
      </c>
      <c r="F7" s="49">
        <v>-0.15</v>
      </c>
      <c r="G7">
        <v>2018</v>
      </c>
      <c r="H7">
        <v>2011</v>
      </c>
    </row>
    <row r="8" spans="1:20" ht="14.45" x14ac:dyDescent="0.5">
      <c r="A8" s="48">
        <v>7.0000000000000007E-2</v>
      </c>
      <c r="B8">
        <v>2011</v>
      </c>
      <c r="C8" t="s">
        <v>7</v>
      </c>
      <c r="F8" s="49">
        <v>-0.14000000000000001</v>
      </c>
      <c r="G8">
        <v>2019</v>
      </c>
      <c r="H8">
        <v>2012</v>
      </c>
    </row>
    <row r="9" spans="1:20" ht="14.45" x14ac:dyDescent="0.5">
      <c r="A9" s="48">
        <v>0.08</v>
      </c>
      <c r="B9">
        <v>2012</v>
      </c>
      <c r="C9" t="s">
        <v>8</v>
      </c>
      <c r="F9" s="49">
        <v>-0.13</v>
      </c>
      <c r="G9">
        <v>2020</v>
      </c>
      <c r="H9">
        <v>2013</v>
      </c>
    </row>
    <row r="10" spans="1:20" ht="14.45" x14ac:dyDescent="0.5">
      <c r="A10" s="48">
        <v>0.09</v>
      </c>
      <c r="B10">
        <v>2013</v>
      </c>
      <c r="C10" t="s">
        <v>10</v>
      </c>
      <c r="F10" s="49">
        <v>-0.12</v>
      </c>
      <c r="G10">
        <v>2021</v>
      </c>
      <c r="H10">
        <v>2014</v>
      </c>
    </row>
    <row r="11" spans="1:20" ht="14.45" x14ac:dyDescent="0.5">
      <c r="A11" s="48">
        <v>0.1</v>
      </c>
      <c r="B11">
        <v>2014</v>
      </c>
      <c r="C11">
        <f>'Custom Member Setup'!D3</f>
        <v>0</v>
      </c>
      <c r="F11" s="49">
        <v>-0.11</v>
      </c>
      <c r="G11">
        <v>2022</v>
      </c>
      <c r="H11">
        <v>2015</v>
      </c>
    </row>
    <row r="12" spans="1:20" ht="14.45" x14ac:dyDescent="0.5">
      <c r="A12" s="48">
        <v>0.11</v>
      </c>
      <c r="B12">
        <v>2015</v>
      </c>
      <c r="F12" s="49">
        <v>-0.1</v>
      </c>
      <c r="G12">
        <v>2023</v>
      </c>
      <c r="H12">
        <v>2016</v>
      </c>
    </row>
    <row r="13" spans="1:20" ht="14.45" x14ac:dyDescent="0.5">
      <c r="A13" s="48">
        <v>0.12</v>
      </c>
      <c r="B13">
        <v>2016</v>
      </c>
      <c r="F13" s="49">
        <v>-0.09</v>
      </c>
      <c r="G13">
        <v>2024</v>
      </c>
      <c r="H13">
        <v>2017</v>
      </c>
    </row>
    <row r="14" spans="1:20" ht="14.45" x14ac:dyDescent="0.5">
      <c r="A14" s="48">
        <v>0.13</v>
      </c>
      <c r="B14">
        <v>2017</v>
      </c>
      <c r="F14" s="49">
        <v>-0.08</v>
      </c>
      <c r="G14">
        <v>2025</v>
      </c>
      <c r="H14">
        <v>2018</v>
      </c>
    </row>
    <row r="15" spans="1:20" ht="14.45" x14ac:dyDescent="0.5">
      <c r="A15" s="48">
        <v>0.14000000000000001</v>
      </c>
      <c r="B15">
        <v>2018</v>
      </c>
      <c r="F15" s="49">
        <v>-7.0000000000000007E-2</v>
      </c>
      <c r="G15">
        <v>2026</v>
      </c>
      <c r="H15">
        <v>2019</v>
      </c>
    </row>
    <row r="16" spans="1:20" ht="14.45" x14ac:dyDescent="0.5">
      <c r="A16" s="48">
        <v>0.15</v>
      </c>
      <c r="B16">
        <v>2019</v>
      </c>
      <c r="F16" s="49">
        <v>-0.06</v>
      </c>
      <c r="G16">
        <v>2027</v>
      </c>
      <c r="H16">
        <v>2020</v>
      </c>
    </row>
    <row r="17" spans="1:8" ht="14.45" x14ac:dyDescent="0.5">
      <c r="A17" s="48">
        <v>0.16</v>
      </c>
      <c r="B17">
        <v>2020</v>
      </c>
      <c r="F17" s="49">
        <v>-0.05</v>
      </c>
      <c r="G17">
        <v>2028</v>
      </c>
      <c r="H17">
        <v>2021</v>
      </c>
    </row>
    <row r="18" spans="1:8" ht="14.45" x14ac:dyDescent="0.5">
      <c r="A18" s="48">
        <v>0.17</v>
      </c>
      <c r="B18">
        <v>2021</v>
      </c>
      <c r="F18" s="49">
        <v>-0.04</v>
      </c>
      <c r="G18">
        <v>2029</v>
      </c>
      <c r="H18">
        <v>2022</v>
      </c>
    </row>
    <row r="19" spans="1:8" x14ac:dyDescent="0.25">
      <c r="A19" s="48">
        <v>0.18</v>
      </c>
      <c r="B19">
        <v>2022</v>
      </c>
      <c r="F19" s="49">
        <v>-0.03</v>
      </c>
      <c r="G19">
        <v>2030</v>
      </c>
      <c r="H19">
        <v>2023</v>
      </c>
    </row>
    <row r="20" spans="1:8" x14ac:dyDescent="0.25">
      <c r="A20" s="48">
        <v>0.19</v>
      </c>
      <c r="B20">
        <v>2023</v>
      </c>
      <c r="F20" s="49">
        <v>-0.02</v>
      </c>
      <c r="H20">
        <v>2024</v>
      </c>
    </row>
    <row r="21" spans="1:8" x14ac:dyDescent="0.25">
      <c r="A21" s="48">
        <v>0.2</v>
      </c>
      <c r="B21">
        <v>2024</v>
      </c>
      <c r="F21" s="49">
        <v>-0.01</v>
      </c>
      <c r="H21">
        <v>2025</v>
      </c>
    </row>
    <row r="22" spans="1:8" x14ac:dyDescent="0.25">
      <c r="B22">
        <v>2025</v>
      </c>
      <c r="F22" s="49">
        <v>0</v>
      </c>
      <c r="H22">
        <v>2026</v>
      </c>
    </row>
    <row r="23" spans="1:8" x14ac:dyDescent="0.25">
      <c r="B23">
        <v>2026</v>
      </c>
      <c r="F23" s="49">
        <v>9.9999999999999794E-3</v>
      </c>
      <c r="H23">
        <v>2027</v>
      </c>
    </row>
    <row r="24" spans="1:8" x14ac:dyDescent="0.25">
      <c r="B24">
        <v>2027</v>
      </c>
      <c r="F24" s="49">
        <v>0.02</v>
      </c>
      <c r="H24">
        <v>2028</v>
      </c>
    </row>
    <row r="25" spans="1:8" x14ac:dyDescent="0.25">
      <c r="B25">
        <v>2028</v>
      </c>
      <c r="F25" s="49">
        <v>0.03</v>
      </c>
      <c r="H25">
        <v>2029</v>
      </c>
    </row>
    <row r="26" spans="1:8" x14ac:dyDescent="0.25">
      <c r="B26">
        <v>2029</v>
      </c>
      <c r="F26" s="49">
        <v>0.04</v>
      </c>
      <c r="H26">
        <v>2030</v>
      </c>
    </row>
    <row r="27" spans="1:8" x14ac:dyDescent="0.25">
      <c r="B27">
        <v>2030</v>
      </c>
      <c r="F27" s="49">
        <v>0.05</v>
      </c>
    </row>
    <row r="28" spans="1:8" x14ac:dyDescent="0.25">
      <c r="F28" s="49">
        <v>0.06</v>
      </c>
    </row>
    <row r="29" spans="1:8" x14ac:dyDescent="0.25">
      <c r="F29" s="49">
        <v>7.0000000000000007E-2</v>
      </c>
    </row>
    <row r="30" spans="1:8" x14ac:dyDescent="0.25">
      <c r="F30" s="49">
        <v>0.08</v>
      </c>
    </row>
    <row r="31" spans="1:8" x14ac:dyDescent="0.25">
      <c r="F31" s="49">
        <v>0.09</v>
      </c>
    </row>
    <row r="32" spans="1:8" x14ac:dyDescent="0.25">
      <c r="F32" s="49">
        <v>0.1</v>
      </c>
    </row>
    <row r="33" spans="6:6" x14ac:dyDescent="0.25">
      <c r="F33" s="49">
        <v>0.11</v>
      </c>
    </row>
    <row r="34" spans="6:6" x14ac:dyDescent="0.25">
      <c r="F34" s="49">
        <v>0.12</v>
      </c>
    </row>
    <row r="35" spans="6:6" x14ac:dyDescent="0.25">
      <c r="F35" s="49">
        <v>0.13</v>
      </c>
    </row>
    <row r="36" spans="6:6" x14ac:dyDescent="0.25">
      <c r="F36" s="49">
        <v>0.14000000000000001</v>
      </c>
    </row>
    <row r="37" spans="6:6" x14ac:dyDescent="0.25">
      <c r="F37" s="49">
        <v>0.15</v>
      </c>
    </row>
    <row r="38" spans="6:6" x14ac:dyDescent="0.25">
      <c r="F38" s="49">
        <v>0.16</v>
      </c>
    </row>
    <row r="39" spans="6:6" x14ac:dyDescent="0.25">
      <c r="F39" s="49">
        <v>0.17</v>
      </c>
    </row>
    <row r="40" spans="6:6" x14ac:dyDescent="0.25">
      <c r="F40" s="49">
        <v>0.18</v>
      </c>
    </row>
    <row r="41" spans="6:6" x14ac:dyDescent="0.25">
      <c r="F41" s="49">
        <v>0.19</v>
      </c>
    </row>
    <row r="42" spans="6:6" x14ac:dyDescent="0.25">
      <c r="F42" s="49">
        <v>0.2</v>
      </c>
    </row>
    <row r="43" spans="6:6" x14ac:dyDescent="0.25">
      <c r="F43" s="49">
        <v>0.21</v>
      </c>
    </row>
    <row r="44" spans="6:6" x14ac:dyDescent="0.25">
      <c r="F44" s="49">
        <v>0.22</v>
      </c>
    </row>
    <row r="45" spans="6:6" x14ac:dyDescent="0.25">
      <c r="F45" s="49">
        <v>0.23</v>
      </c>
    </row>
    <row r="46" spans="6:6" x14ac:dyDescent="0.25">
      <c r="F46" s="49">
        <v>0.24</v>
      </c>
    </row>
    <row r="47" spans="6:6" x14ac:dyDescent="0.25">
      <c r="F47" s="49">
        <v>0.25</v>
      </c>
    </row>
    <row r="48" spans="6:6" x14ac:dyDescent="0.25">
      <c r="F48" s="49">
        <v>0.26</v>
      </c>
    </row>
    <row r="49" spans="6:6" x14ac:dyDescent="0.25">
      <c r="F49" s="49">
        <v>0.27</v>
      </c>
    </row>
    <row r="50" spans="6:6" x14ac:dyDescent="0.25">
      <c r="F50" s="49">
        <v>0.28000000000000003</v>
      </c>
    </row>
    <row r="51" spans="6:6" x14ac:dyDescent="0.25">
      <c r="F51" s="49">
        <v>0.28999999999999998</v>
      </c>
    </row>
    <row r="52" spans="6:6" x14ac:dyDescent="0.25">
      <c r="F52" s="49">
        <v>0.3</v>
      </c>
    </row>
  </sheetData>
  <customSheetViews>
    <customSheetView guid="{821D1691-1FA5-412F-8FF4-9E35B3587D16}">
      <selection activeCell="H2" sqref="H2:H26"/>
      <pageMargins left="0.7" right="0.7" top="0.75" bottom="0.75" header="0.3" footer="0.3"/>
    </customSheetView>
  </customSheetViews>
  <pageMargins left="0.7" right="0.7" top="0.75" bottom="0.75" header="0.3" footer="0.3"/>
  <pageSetup paperSize="9"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286"/>
  <sheetViews>
    <sheetView topLeftCell="A40" workbookViewId="0">
      <selection activeCell="D20" sqref="D20"/>
    </sheetView>
  </sheetViews>
  <sheetFormatPr defaultRowHeight="15" x14ac:dyDescent="0.25"/>
  <cols>
    <col min="1" max="1" width="33.5703125" customWidth="1"/>
    <col min="2" max="2" width="24.28515625" customWidth="1"/>
    <col min="3" max="3" width="26.28515625" customWidth="1"/>
    <col min="4" max="4" width="19.7109375" customWidth="1"/>
    <col min="5" max="5" width="32.42578125" customWidth="1"/>
  </cols>
  <sheetData>
    <row r="1" spans="1:5" ht="23.45" x14ac:dyDescent="0.8">
      <c r="A1" s="1">
        <v>2010</v>
      </c>
    </row>
    <row r="2" spans="1:5" ht="14.45" x14ac:dyDescent="0.5">
      <c r="A2" s="40" t="s">
        <v>0</v>
      </c>
      <c r="B2" s="41" t="s">
        <v>47</v>
      </c>
      <c r="C2" s="41" t="s">
        <v>48</v>
      </c>
      <c r="D2" s="41" t="s">
        <v>49</v>
      </c>
      <c r="E2" s="41" t="s">
        <v>11</v>
      </c>
    </row>
    <row r="3" spans="1:5" ht="14.45" x14ac:dyDescent="0.5">
      <c r="A3" s="41" t="s">
        <v>1</v>
      </c>
      <c r="B3" s="42">
        <f>'2010 Data'!B3*'2010 Data'!G3</f>
        <v>1584162000</v>
      </c>
      <c r="C3" s="42">
        <f>'2010 Data'!E3</f>
        <v>448112400.13125348</v>
      </c>
      <c r="D3" s="42">
        <f>B3+C3</f>
        <v>2032274400.1312535</v>
      </c>
      <c r="E3" s="43">
        <v>56828394.065727562</v>
      </c>
    </row>
    <row r="4" spans="1:5" ht="14.45" x14ac:dyDescent="0.5">
      <c r="A4" s="41" t="s">
        <v>2</v>
      </c>
      <c r="B4" s="42">
        <f>'2010 Data'!B4*'2010 Data'!G4</f>
        <v>16254733000</v>
      </c>
      <c r="C4" s="42">
        <f>'2010 Data'!E4</f>
        <v>912105150</v>
      </c>
      <c r="D4" s="42">
        <f t="shared" ref="D4:D11" si="0">B4+C4</f>
        <v>17166838150</v>
      </c>
      <c r="E4" s="43">
        <v>5106802500</v>
      </c>
    </row>
    <row r="5" spans="1:5" ht="14.45" x14ac:dyDescent="0.5">
      <c r="A5" s="41" t="s">
        <v>3</v>
      </c>
      <c r="B5" s="42">
        <f>'2010 Data'!B5*'2010 Data'!G5</f>
        <v>1308376000</v>
      </c>
      <c r="C5" s="42">
        <f>'2010 Data'!E5</f>
        <v>4070857191.1017885</v>
      </c>
      <c r="D5" s="42">
        <f t="shared" si="0"/>
        <v>5379233191.1017885</v>
      </c>
      <c r="E5" s="43">
        <v>2942072190.8441753</v>
      </c>
    </row>
    <row r="6" spans="1:5" ht="14.45" x14ac:dyDescent="0.5">
      <c r="A6" s="41" t="s">
        <v>4</v>
      </c>
      <c r="B6" s="42">
        <f>'2010 Data'!B6*'2010 Data'!G6</f>
        <v>75413310700</v>
      </c>
      <c r="C6" s="42">
        <f>'2010 Data'!E6</f>
        <v>0</v>
      </c>
      <c r="D6" s="42">
        <f t="shared" si="0"/>
        <v>75413310700</v>
      </c>
      <c r="E6" s="43">
        <v>18582798362.466812</v>
      </c>
    </row>
    <row r="7" spans="1:5" ht="14.45" x14ac:dyDescent="0.5">
      <c r="A7" s="41" t="s">
        <v>5</v>
      </c>
      <c r="B7" s="42">
        <f>'2010 Data'!B7*'2010 Data'!G7</f>
        <v>17723566000</v>
      </c>
      <c r="C7" s="42">
        <f>'2010 Data'!E7</f>
        <v>94377032795.588074</v>
      </c>
      <c r="D7" s="42">
        <f t="shared" si="0"/>
        <v>112100598795.58807</v>
      </c>
      <c r="E7" s="43">
        <v>20197477817.669205</v>
      </c>
    </row>
    <row r="8" spans="1:5" ht="14.45" x14ac:dyDescent="0.5">
      <c r="A8" s="41" t="s">
        <v>6</v>
      </c>
      <c r="B8" s="42">
        <f>'2010 Data'!B8*'2010 Data'!G8</f>
        <v>23063089000</v>
      </c>
      <c r="C8" s="42">
        <f>'2010 Data'!E8</f>
        <v>0</v>
      </c>
      <c r="D8" s="42">
        <f t="shared" si="0"/>
        <v>23063089000</v>
      </c>
      <c r="E8" s="43">
        <v>31587750000</v>
      </c>
    </row>
    <row r="9" spans="1:5" ht="14.45" x14ac:dyDescent="0.5">
      <c r="A9" s="41" t="s">
        <v>7</v>
      </c>
      <c r="B9" s="42">
        <f>'2010 Data'!B9*'2010 Data'!G9</f>
        <v>9245569000</v>
      </c>
      <c r="C9" s="42">
        <f>'2010 Data'!E9</f>
        <v>0</v>
      </c>
      <c r="D9" s="42">
        <f t="shared" si="0"/>
        <v>9245569000</v>
      </c>
      <c r="E9" s="43">
        <v>2264688518.6991448</v>
      </c>
    </row>
    <row r="10" spans="1:5" ht="14.45" x14ac:dyDescent="0.5">
      <c r="A10" s="41" t="s">
        <v>8</v>
      </c>
      <c r="B10" s="42">
        <f>'2010 Data'!B10*'2010 Data'!G10</f>
        <v>3884684500</v>
      </c>
      <c r="C10" s="42">
        <f>'2010 Data'!E10</f>
        <v>40297791111.95343</v>
      </c>
      <c r="D10" s="42">
        <f t="shared" si="0"/>
        <v>44182475611.95343</v>
      </c>
      <c r="E10" s="43">
        <v>9892631496.259201</v>
      </c>
    </row>
    <row r="11" spans="1:5" ht="14.45" x14ac:dyDescent="0.5">
      <c r="A11" s="41" t="s">
        <v>10</v>
      </c>
      <c r="B11" s="42">
        <f>'2010 Data'!B11*'2010 Data'!G11</f>
        <v>13798427500</v>
      </c>
      <c r="C11" s="42">
        <f>'2010 Data'!E11</f>
        <v>19100000000</v>
      </c>
      <c r="D11" s="42">
        <f t="shared" si="0"/>
        <v>32898427500</v>
      </c>
      <c r="E11" s="43">
        <v>9784248000</v>
      </c>
    </row>
    <row r="14" spans="1:5" ht="14.45" x14ac:dyDescent="0.5">
      <c r="A14" s="44" t="s">
        <v>50</v>
      </c>
      <c r="B14" s="41" t="s">
        <v>52</v>
      </c>
      <c r="C14" s="41" t="s">
        <v>53</v>
      </c>
      <c r="D14" s="41" t="s">
        <v>51</v>
      </c>
    </row>
    <row r="15" spans="1:5" ht="14.45" x14ac:dyDescent="0.5">
      <c r="A15" s="41" t="s">
        <v>1</v>
      </c>
      <c r="B15" s="42">
        <f>0.05*'2010 Data'!B3</f>
        <v>1584162000</v>
      </c>
      <c r="C15" s="45">
        <f>-1*(D3-B15)</f>
        <v>-448112400.13125348</v>
      </c>
      <c r="D15" s="45">
        <f>B15-E3</f>
        <v>1527333605.9342725</v>
      </c>
    </row>
    <row r="16" spans="1:5" ht="14.45" x14ac:dyDescent="0.5">
      <c r="A16" s="41" t="s">
        <v>2</v>
      </c>
      <c r="B16" s="42">
        <f>0.1*'2010 Data'!B4</f>
        <v>16254733000</v>
      </c>
      <c r="C16" s="45">
        <f t="shared" ref="C16:C23" si="1">-1*(D4-B16)</f>
        <v>-912105150</v>
      </c>
      <c r="D16" s="45">
        <f t="shared" ref="D16:D23" si="2">B16-E4</f>
        <v>11147930500</v>
      </c>
    </row>
    <row r="17" spans="1:4" ht="14.45" x14ac:dyDescent="0.5">
      <c r="A17" s="41" t="s">
        <v>3</v>
      </c>
      <c r="B17" s="42">
        <f>0.05*'2010 Data'!B5</f>
        <v>1308376000</v>
      </c>
      <c r="C17" s="45">
        <f t="shared" si="1"/>
        <v>-4070857191.1017885</v>
      </c>
      <c r="D17" s="45">
        <f t="shared" si="2"/>
        <v>-1633696190.8441753</v>
      </c>
    </row>
    <row r="18" spans="1:4" ht="14.45" x14ac:dyDescent="0.5">
      <c r="A18" s="41" t="s">
        <v>4</v>
      </c>
      <c r="B18" s="42">
        <f>0.1*'2010 Data'!B6</f>
        <v>88721542000</v>
      </c>
      <c r="C18" s="45">
        <f t="shared" si="1"/>
        <v>13308231300</v>
      </c>
      <c r="D18" s="45">
        <f t="shared" si="2"/>
        <v>70138743637.533188</v>
      </c>
    </row>
    <row r="19" spans="1:4" ht="14.45" x14ac:dyDescent="0.5">
      <c r="A19" s="41" t="s">
        <v>5</v>
      </c>
      <c r="B19" s="42">
        <f>0.05*'2010 Data'!B7</f>
        <v>17723566000</v>
      </c>
      <c r="C19" s="45">
        <f t="shared" si="1"/>
        <v>-94377032795.588074</v>
      </c>
      <c r="D19" s="45">
        <f t="shared" si="2"/>
        <v>-2473911817.6692047</v>
      </c>
    </row>
    <row r="20" spans="1:4" ht="14.45" x14ac:dyDescent="0.5">
      <c r="A20" s="41" t="s">
        <v>6</v>
      </c>
      <c r="B20" s="42">
        <f>0.1*'2010 Data'!B8</f>
        <v>23063089000</v>
      </c>
      <c r="C20" s="45">
        <f t="shared" si="1"/>
        <v>0</v>
      </c>
      <c r="D20" s="45">
        <f t="shared" si="2"/>
        <v>-8524661000</v>
      </c>
    </row>
    <row r="21" spans="1:4" ht="14.45" x14ac:dyDescent="0.5">
      <c r="A21" s="41" t="s">
        <v>7</v>
      </c>
      <c r="B21" s="42">
        <f>0.1*'2010 Data'!B9</f>
        <v>9245569000</v>
      </c>
      <c r="C21" s="45">
        <f t="shared" si="1"/>
        <v>0</v>
      </c>
      <c r="D21" s="45">
        <f t="shared" si="2"/>
        <v>6980880481.3008556</v>
      </c>
    </row>
    <row r="22" spans="1:4" ht="14.45" x14ac:dyDescent="0.5">
      <c r="A22" s="41" t="s">
        <v>8</v>
      </c>
      <c r="B22" s="42">
        <f>0.05*'2010 Data'!B10</f>
        <v>3884684500</v>
      </c>
      <c r="C22" s="45">
        <f t="shared" si="1"/>
        <v>-40297791111.95343</v>
      </c>
      <c r="D22" s="45">
        <f t="shared" si="2"/>
        <v>-6007946996.259201</v>
      </c>
    </row>
    <row r="23" spans="1:4" ht="14.45" x14ac:dyDescent="0.5">
      <c r="A23" s="41" t="s">
        <v>10</v>
      </c>
      <c r="B23" s="42">
        <f>0.05*'2010 Data'!B11</f>
        <v>13798427500</v>
      </c>
      <c r="C23" s="45">
        <f t="shared" si="1"/>
        <v>-19100000000</v>
      </c>
      <c r="D23" s="45">
        <f t="shared" si="2"/>
        <v>4014179500</v>
      </c>
    </row>
    <row r="33" spans="1:2" ht="14.45" x14ac:dyDescent="0.5">
      <c r="A33" s="39" t="s">
        <v>60</v>
      </c>
    </row>
    <row r="34" spans="1:2" ht="14.45" x14ac:dyDescent="0.5">
      <c r="A34" t="s">
        <v>54</v>
      </c>
    </row>
    <row r="35" spans="1:2" ht="14.45" x14ac:dyDescent="0.5">
      <c r="A35" t="s">
        <v>55</v>
      </c>
      <c r="B35" s="46">
        <v>2.4667834903719873E-5</v>
      </c>
    </row>
    <row r="36" spans="1:2" ht="14.45" x14ac:dyDescent="0.5">
      <c r="A36" t="s">
        <v>56</v>
      </c>
      <c r="B36" s="46">
        <v>1.1702021562603092E-5</v>
      </c>
    </row>
    <row r="37" spans="1:2" ht="14.45" x14ac:dyDescent="0.5">
      <c r="B37" s="46"/>
    </row>
    <row r="38" spans="1:2" ht="14.45" x14ac:dyDescent="0.5">
      <c r="A38" s="39" t="s">
        <v>61</v>
      </c>
      <c r="B38" s="46"/>
    </row>
    <row r="39" spans="1:2" ht="14.45" x14ac:dyDescent="0.5">
      <c r="A39" t="s">
        <v>62</v>
      </c>
      <c r="B39" s="46">
        <v>2.0885794909410491E-2</v>
      </c>
    </row>
    <row r="40" spans="1:2" ht="14.45" x14ac:dyDescent="0.5">
      <c r="A40" t="s">
        <v>63</v>
      </c>
      <c r="B40" s="46">
        <v>0.11499724624455643</v>
      </c>
    </row>
    <row r="41" spans="1:2" ht="14.45" x14ac:dyDescent="0.5">
      <c r="A41" t="s">
        <v>64</v>
      </c>
      <c r="B41" s="46">
        <v>8.2807950930609189E-4</v>
      </c>
    </row>
    <row r="42" spans="1:2" ht="14.45" x14ac:dyDescent="0.5">
      <c r="A42" t="s">
        <v>65</v>
      </c>
      <c r="B42" s="46">
        <v>3.3855513793137032E-2</v>
      </c>
    </row>
    <row r="43" spans="1:2" ht="14.45" x14ac:dyDescent="0.5">
      <c r="A43" t="s">
        <v>66</v>
      </c>
      <c r="B43" s="46">
        <v>3.5590223032441418E-3</v>
      </c>
    </row>
    <row r="44" spans="1:2" ht="14.45" x14ac:dyDescent="0.5">
      <c r="A44" t="s">
        <v>67</v>
      </c>
      <c r="B44" s="46">
        <v>3.929852511801131E-2</v>
      </c>
    </row>
    <row r="45" spans="1:2" ht="14.45" x14ac:dyDescent="0.5">
      <c r="A45" t="s">
        <v>59</v>
      </c>
      <c r="B45" s="46">
        <v>1.4882518446850657E-3</v>
      </c>
    </row>
    <row r="46" spans="1:2" ht="14.45" x14ac:dyDescent="0.5">
      <c r="A46" t="s">
        <v>68</v>
      </c>
      <c r="B46" s="46">
        <v>5.2966486579716934E-2</v>
      </c>
    </row>
    <row r="47" spans="1:2" ht="14.45" x14ac:dyDescent="0.5">
      <c r="A47" t="s">
        <v>69</v>
      </c>
      <c r="B47" s="46">
        <v>0</v>
      </c>
    </row>
    <row r="48" spans="1:2" ht="14.45" x14ac:dyDescent="0.5">
      <c r="A48" t="s">
        <v>57</v>
      </c>
      <c r="B48" s="46">
        <v>0</v>
      </c>
    </row>
    <row r="49" spans="1:2" ht="14.45" x14ac:dyDescent="0.5">
      <c r="B49" s="46"/>
    </row>
    <row r="50" spans="1:2" ht="14.45" x14ac:dyDescent="0.5">
      <c r="A50" s="39" t="s">
        <v>88</v>
      </c>
      <c r="B50" s="46"/>
    </row>
    <row r="51" spans="1:2" ht="14.45" x14ac:dyDescent="0.5">
      <c r="A51" t="s">
        <v>70</v>
      </c>
      <c r="B51" s="46">
        <v>2.6461259628454917E-3</v>
      </c>
    </row>
    <row r="52" spans="1:2" ht="14.45" x14ac:dyDescent="0.5">
      <c r="A52" t="s">
        <v>71</v>
      </c>
      <c r="B52" s="46">
        <v>1.8724816307181792E-2</v>
      </c>
    </row>
    <row r="53" spans="1:2" ht="14.45" x14ac:dyDescent="0.5">
      <c r="A53" t="s">
        <v>72</v>
      </c>
      <c r="B53" s="46">
        <v>4.7278840092456399E-2</v>
      </c>
    </row>
    <row r="54" spans="1:2" ht="14.45" x14ac:dyDescent="0.5">
      <c r="A54" t="s">
        <v>73</v>
      </c>
      <c r="B54" s="46">
        <v>2.6759247979859509E-2</v>
      </c>
    </row>
    <row r="55" spans="1:2" ht="14.45" x14ac:dyDescent="0.5">
      <c r="A55" t="s">
        <v>74</v>
      </c>
      <c r="B55" s="46">
        <v>2.196043983623786E-4</v>
      </c>
    </row>
    <row r="56" spans="1:2" ht="14.45" x14ac:dyDescent="0.5">
      <c r="A56" t="s">
        <v>75</v>
      </c>
      <c r="B56" s="46">
        <v>8.9235917456776358E-4</v>
      </c>
    </row>
    <row r="57" spans="1:2" ht="14.45" x14ac:dyDescent="0.5">
      <c r="A57" t="s">
        <v>76</v>
      </c>
      <c r="B57" s="46">
        <v>4.526935264825713E-4</v>
      </c>
    </row>
    <row r="58" spans="1:2" x14ac:dyDescent="0.25">
      <c r="A58" t="s">
        <v>77</v>
      </c>
      <c r="B58" s="46">
        <v>7.5879086983343627E-2</v>
      </c>
    </row>
    <row r="59" spans="1:2" x14ac:dyDescent="0.25">
      <c r="A59" t="s">
        <v>78</v>
      </c>
      <c r="B59" s="46">
        <v>8.1975612255354038E-4</v>
      </c>
    </row>
    <row r="60" spans="1:2" x14ac:dyDescent="0.25">
      <c r="A60" t="s">
        <v>79</v>
      </c>
      <c r="B60" s="46">
        <v>1.4545454545454547E-3</v>
      </c>
    </row>
    <row r="61" spans="1:2" x14ac:dyDescent="0.25">
      <c r="A61" t="s">
        <v>80</v>
      </c>
      <c r="B61" s="46">
        <v>3.9973351099267156E-3</v>
      </c>
    </row>
    <row r="62" spans="1:2" x14ac:dyDescent="0.25">
      <c r="A62" t="s">
        <v>81</v>
      </c>
      <c r="B62" s="46">
        <v>6.2797335870599436E-2</v>
      </c>
    </row>
    <row r="63" spans="1:2" x14ac:dyDescent="0.25">
      <c r="A63" t="s">
        <v>82</v>
      </c>
      <c r="B63" s="46">
        <v>1.3833684046450005E-3</v>
      </c>
    </row>
    <row r="64" spans="1:2" x14ac:dyDescent="0.25">
      <c r="A64" t="s">
        <v>83</v>
      </c>
      <c r="B64" s="46">
        <v>2.2259883323012743E-2</v>
      </c>
    </row>
    <row r="65" spans="1:2" x14ac:dyDescent="0.25">
      <c r="A65" t="s">
        <v>84</v>
      </c>
      <c r="B65" s="46">
        <v>2.9438028336706754E-2</v>
      </c>
    </row>
    <row r="66" spans="1:2" x14ac:dyDescent="0.25">
      <c r="A66" t="s">
        <v>85</v>
      </c>
      <c r="B66" s="46">
        <v>7.2931276297335201E-2</v>
      </c>
    </row>
    <row r="67" spans="1:2" x14ac:dyDescent="0.25">
      <c r="A67" t="s">
        <v>57</v>
      </c>
      <c r="B67" s="46">
        <v>8.37949386336483E-2</v>
      </c>
    </row>
    <row r="68" spans="1:2" x14ac:dyDescent="0.25">
      <c r="A68" t="s">
        <v>87</v>
      </c>
      <c r="B68" s="46">
        <v>1.6509823344890208E-4</v>
      </c>
    </row>
    <row r="69" spans="1:2" x14ac:dyDescent="0.25">
      <c r="B69" s="46"/>
    </row>
    <row r="70" spans="1:2" x14ac:dyDescent="0.25">
      <c r="A70" s="39" t="s">
        <v>89</v>
      </c>
      <c r="B70" s="46"/>
    </row>
    <row r="71" spans="1:2" x14ac:dyDescent="0.25">
      <c r="A71" t="s">
        <v>55</v>
      </c>
      <c r="B71" s="46">
        <v>2.4612246632388559E-2</v>
      </c>
    </row>
    <row r="72" spans="1:2" x14ac:dyDescent="0.25">
      <c r="A72" t="s">
        <v>66</v>
      </c>
      <c r="B72" s="46">
        <v>1.6912472304903434E-2</v>
      </c>
    </row>
    <row r="73" spans="1:2" x14ac:dyDescent="0.25">
      <c r="A73" t="s">
        <v>73</v>
      </c>
      <c r="B73" s="46">
        <v>1.9649516517606682E-2</v>
      </c>
    </row>
    <row r="74" spans="1:2" x14ac:dyDescent="0.25">
      <c r="A74" t="s">
        <v>90</v>
      </c>
      <c r="B74" s="46">
        <v>1.600260204911368E-2</v>
      </c>
    </row>
    <row r="75" spans="1:2" x14ac:dyDescent="0.25">
      <c r="A75" t="s">
        <v>63</v>
      </c>
      <c r="B75" s="46">
        <v>1.8557536466774716E-2</v>
      </c>
    </row>
    <row r="76" spans="1:2" x14ac:dyDescent="0.25">
      <c r="A76" t="s">
        <v>91</v>
      </c>
      <c r="B76" s="46">
        <v>1.41846921797005E-2</v>
      </c>
    </row>
    <row r="77" spans="1:2" x14ac:dyDescent="0.25">
      <c r="A77" t="s">
        <v>92</v>
      </c>
      <c r="B77" s="46">
        <v>5.13795045045045E-3</v>
      </c>
    </row>
    <row r="78" spans="1:2" x14ac:dyDescent="0.25">
      <c r="A78" t="s">
        <v>93</v>
      </c>
      <c r="B78" s="46">
        <v>2.3146135790663307E-4</v>
      </c>
    </row>
    <row r="79" spans="1:2" x14ac:dyDescent="0.25">
      <c r="A79" t="s">
        <v>94</v>
      </c>
      <c r="B79" s="46">
        <v>4.2986425339366511E-3</v>
      </c>
    </row>
    <row r="80" spans="1:2" x14ac:dyDescent="0.25">
      <c r="A80" t="s">
        <v>95</v>
      </c>
      <c r="B80" s="46">
        <v>4.604446450739195E-3</v>
      </c>
    </row>
    <row r="81" spans="1:2" x14ac:dyDescent="0.25">
      <c r="B81" s="46"/>
    </row>
    <row r="82" spans="1:2" x14ac:dyDescent="0.25">
      <c r="A82" s="39" t="s">
        <v>96</v>
      </c>
      <c r="B82" s="46"/>
    </row>
    <row r="83" spans="1:2" x14ac:dyDescent="0.25">
      <c r="A83" t="s">
        <v>97</v>
      </c>
      <c r="B83" s="46">
        <v>0.13406934548988625</v>
      </c>
    </row>
    <row r="84" spans="1:2" x14ac:dyDescent="0.25">
      <c r="A84" t="s">
        <v>98</v>
      </c>
      <c r="B84" s="46">
        <v>0</v>
      </c>
    </row>
    <row r="85" spans="1:2" x14ac:dyDescent="0.25">
      <c r="A85" t="s">
        <v>71</v>
      </c>
      <c r="B85" s="46">
        <v>0</v>
      </c>
    </row>
    <row r="86" spans="1:2" x14ac:dyDescent="0.25">
      <c r="A86" t="s">
        <v>65</v>
      </c>
      <c r="B86" s="46">
        <v>0</v>
      </c>
    </row>
    <row r="87" spans="1:2" x14ac:dyDescent="0.25">
      <c r="A87" t="s">
        <v>99</v>
      </c>
      <c r="B87" s="46">
        <v>0</v>
      </c>
    </row>
    <row r="88" spans="1:2" x14ac:dyDescent="0.25">
      <c r="A88" t="s">
        <v>100</v>
      </c>
      <c r="B88" s="46">
        <v>0</v>
      </c>
    </row>
    <row r="89" spans="1:2" x14ac:dyDescent="0.25">
      <c r="A89" t="s">
        <v>66</v>
      </c>
      <c r="B89" s="46">
        <v>0</v>
      </c>
    </row>
    <row r="90" spans="1:2" x14ac:dyDescent="0.25">
      <c r="A90" t="s">
        <v>59</v>
      </c>
      <c r="B90" s="46">
        <v>0.57894067931242643</v>
      </c>
    </row>
    <row r="91" spans="1:2" x14ac:dyDescent="0.25">
      <c r="A91" t="s">
        <v>57</v>
      </c>
      <c r="B91" s="46">
        <v>1.6098927297253908E-2</v>
      </c>
    </row>
    <row r="92" spans="1:2" x14ac:dyDescent="0.25">
      <c r="A92" t="s">
        <v>101</v>
      </c>
      <c r="B92" s="46">
        <v>1.1092041109895563</v>
      </c>
    </row>
    <row r="93" spans="1:2" x14ac:dyDescent="0.25">
      <c r="A93" t="s">
        <v>102</v>
      </c>
      <c r="B93" s="46">
        <v>1.2671704179237417</v>
      </c>
    </row>
    <row r="94" spans="1:2" x14ac:dyDescent="0.25">
      <c r="A94" t="s">
        <v>83</v>
      </c>
      <c r="B94" s="46">
        <v>0</v>
      </c>
    </row>
    <row r="95" spans="1:2" x14ac:dyDescent="0.25">
      <c r="A95" t="s">
        <v>103</v>
      </c>
      <c r="B95" s="46">
        <v>6.4517153412158223E-3</v>
      </c>
    </row>
    <row r="96" spans="1:2" x14ac:dyDescent="0.25">
      <c r="A96" t="s">
        <v>104</v>
      </c>
      <c r="B96" s="46" t="e">
        <v>#VALUE!</v>
      </c>
    </row>
    <row r="97" spans="1:2" x14ac:dyDescent="0.25">
      <c r="A97" t="s">
        <v>105</v>
      </c>
      <c r="B97" s="46">
        <v>0.48611339359079703</v>
      </c>
    </row>
    <row r="98" spans="1:2" x14ac:dyDescent="0.25">
      <c r="A98" t="s">
        <v>106</v>
      </c>
      <c r="B98" s="46">
        <v>0</v>
      </c>
    </row>
    <row r="99" spans="1:2" x14ac:dyDescent="0.25">
      <c r="A99" t="s">
        <v>107</v>
      </c>
      <c r="B99" s="46">
        <v>1.8887168058021381E-5</v>
      </c>
    </row>
    <row r="100" spans="1:2" x14ac:dyDescent="0.25">
      <c r="A100" t="s">
        <v>77</v>
      </c>
      <c r="B100" s="46">
        <v>5.7350959194792534E-5</v>
      </c>
    </row>
    <row r="101" spans="1:2" x14ac:dyDescent="0.25">
      <c r="A101" t="s">
        <v>108</v>
      </c>
      <c r="B101" s="46" t="e">
        <v>#VALUE!</v>
      </c>
    </row>
    <row r="102" spans="1:2" x14ac:dyDescent="0.25">
      <c r="A102" t="s">
        <v>109</v>
      </c>
      <c r="B102" s="46" t="e">
        <v>#VALUE!</v>
      </c>
    </row>
    <row r="103" spans="1:2" x14ac:dyDescent="0.25">
      <c r="A103" t="s">
        <v>110</v>
      </c>
      <c r="B103" s="46">
        <v>2.6892564205997039E-4</v>
      </c>
    </row>
    <row r="104" spans="1:2" x14ac:dyDescent="0.25">
      <c r="A104" t="s">
        <v>111</v>
      </c>
      <c r="B104" s="46">
        <v>0</v>
      </c>
    </row>
    <row r="105" spans="1:2" x14ac:dyDescent="0.25">
      <c r="A105" t="s">
        <v>112</v>
      </c>
      <c r="B105" s="46">
        <v>0</v>
      </c>
    </row>
    <row r="106" spans="1:2" x14ac:dyDescent="0.25">
      <c r="A106" t="s">
        <v>113</v>
      </c>
      <c r="B106" s="46">
        <v>0</v>
      </c>
    </row>
    <row r="107" spans="1:2" x14ac:dyDescent="0.25">
      <c r="A107" t="s">
        <v>114</v>
      </c>
      <c r="B107" s="46" t="e">
        <v>#VALUE!</v>
      </c>
    </row>
    <row r="108" spans="1:2" x14ac:dyDescent="0.25">
      <c r="A108" t="s">
        <v>115</v>
      </c>
      <c r="B108" s="46">
        <v>3.5774518321664023E-4</v>
      </c>
    </row>
    <row r="109" spans="1:2" x14ac:dyDescent="0.25">
      <c r="A109" t="s">
        <v>116</v>
      </c>
      <c r="B109" s="46">
        <v>0</v>
      </c>
    </row>
    <row r="110" spans="1:2" x14ac:dyDescent="0.25">
      <c r="A110" t="s">
        <v>117</v>
      </c>
      <c r="B110" s="46" t="e">
        <v>#VALUE!</v>
      </c>
    </row>
    <row r="111" spans="1:2" x14ac:dyDescent="0.25">
      <c r="A111" t="s">
        <v>118</v>
      </c>
      <c r="B111" s="46" t="e">
        <v>#VALUE!</v>
      </c>
    </row>
    <row r="112" spans="1:2" x14ac:dyDescent="0.25">
      <c r="A112" t="s">
        <v>119</v>
      </c>
      <c r="B112" s="46">
        <v>0</v>
      </c>
    </row>
    <row r="113" spans="1:2" x14ac:dyDescent="0.25">
      <c r="A113" t="s">
        <v>69</v>
      </c>
      <c r="B113" s="46">
        <v>0</v>
      </c>
    </row>
    <row r="114" spans="1:2" x14ac:dyDescent="0.25">
      <c r="A114" t="s">
        <v>120</v>
      </c>
      <c r="B114" s="46" t="e">
        <v>#VALUE!</v>
      </c>
    </row>
    <row r="115" spans="1:2" x14ac:dyDescent="0.25">
      <c r="A115" t="s">
        <v>121</v>
      </c>
      <c r="B115" s="46" t="e">
        <v>#VALUE!</v>
      </c>
    </row>
    <row r="116" spans="1:2" x14ac:dyDescent="0.25">
      <c r="A116" t="s">
        <v>122</v>
      </c>
      <c r="B116" s="46">
        <v>0</v>
      </c>
    </row>
    <row r="117" spans="1:2" x14ac:dyDescent="0.25">
      <c r="A117" t="s">
        <v>123</v>
      </c>
      <c r="B117" s="46">
        <v>0</v>
      </c>
    </row>
    <row r="118" spans="1:2" x14ac:dyDescent="0.25">
      <c r="A118" t="s">
        <v>124</v>
      </c>
      <c r="B118" s="46">
        <v>0</v>
      </c>
    </row>
    <row r="119" spans="1:2" x14ac:dyDescent="0.25">
      <c r="A119" t="s">
        <v>125</v>
      </c>
      <c r="B119" s="46">
        <v>1</v>
      </c>
    </row>
    <row r="120" spans="1:2" x14ac:dyDescent="0.25">
      <c r="A120" t="s">
        <v>126</v>
      </c>
      <c r="B120" s="46" t="e">
        <v>#VALUE!</v>
      </c>
    </row>
    <row r="121" spans="1:2" x14ac:dyDescent="0.25">
      <c r="A121" t="s">
        <v>127</v>
      </c>
      <c r="B121" s="46" t="e">
        <v>#VALUE!</v>
      </c>
    </row>
    <row r="122" spans="1:2" x14ac:dyDescent="0.25">
      <c r="A122" t="s">
        <v>128</v>
      </c>
      <c r="B122" s="46">
        <v>0</v>
      </c>
    </row>
    <row r="123" spans="1:2" x14ac:dyDescent="0.25">
      <c r="A123" t="s">
        <v>129</v>
      </c>
      <c r="B123" s="46">
        <v>0</v>
      </c>
    </row>
    <row r="124" spans="1:2" x14ac:dyDescent="0.25">
      <c r="A124" t="s">
        <v>130</v>
      </c>
      <c r="B124" s="46">
        <v>5.4182140861734639E-2</v>
      </c>
    </row>
    <row r="125" spans="1:2" x14ac:dyDescent="0.25">
      <c r="A125" t="s">
        <v>131</v>
      </c>
      <c r="B125" s="46">
        <v>1.5810526648642667E-5</v>
      </c>
    </row>
    <row r="126" spans="1:2" x14ac:dyDescent="0.25">
      <c r="A126" t="s">
        <v>132</v>
      </c>
      <c r="B126" s="46" t="e">
        <v>#VALUE!</v>
      </c>
    </row>
    <row r="127" spans="1:2" x14ac:dyDescent="0.25">
      <c r="A127" t="s">
        <v>133</v>
      </c>
      <c r="B127" s="46">
        <v>0</v>
      </c>
    </row>
    <row r="128" spans="1:2" x14ac:dyDescent="0.25">
      <c r="A128" t="s">
        <v>134</v>
      </c>
      <c r="B128" s="46">
        <v>2.271694684234439E-3</v>
      </c>
    </row>
    <row r="129" spans="1:2" x14ac:dyDescent="0.25">
      <c r="B129" s="46"/>
    </row>
    <row r="130" spans="1:2" x14ac:dyDescent="0.25">
      <c r="A130" s="39" t="s">
        <v>137</v>
      </c>
      <c r="B130" s="46"/>
    </row>
    <row r="131" spans="1:2" x14ac:dyDescent="0.25">
      <c r="A131" t="s">
        <v>66</v>
      </c>
      <c r="B131" s="46">
        <v>6.1158966188391874E-2</v>
      </c>
    </row>
    <row r="132" spans="1:2" x14ac:dyDescent="0.25">
      <c r="A132" t="s">
        <v>55</v>
      </c>
      <c r="B132" s="46" t="s">
        <v>58</v>
      </c>
    </row>
    <row r="133" spans="1:2" x14ac:dyDescent="0.25">
      <c r="A133" t="s">
        <v>135</v>
      </c>
      <c r="B133" s="46" t="s">
        <v>58</v>
      </c>
    </row>
    <row r="134" spans="1:2" x14ac:dyDescent="0.25">
      <c r="A134" t="s">
        <v>63</v>
      </c>
      <c r="B134" s="46">
        <v>0</v>
      </c>
    </row>
    <row r="135" spans="1:2" x14ac:dyDescent="0.25">
      <c r="A135" t="s">
        <v>136</v>
      </c>
      <c r="B135" s="46" t="s">
        <v>58</v>
      </c>
    </row>
    <row r="136" spans="1:2" x14ac:dyDescent="0.25">
      <c r="B136" s="46"/>
    </row>
    <row r="137" spans="1:2" x14ac:dyDescent="0.25">
      <c r="A137" s="39" t="s">
        <v>138</v>
      </c>
      <c r="B137" s="46"/>
    </row>
    <row r="138" spans="1:2" x14ac:dyDescent="0.25">
      <c r="A138" t="s">
        <v>59</v>
      </c>
      <c r="B138" s="46">
        <v>0.34293118609359441</v>
      </c>
    </row>
    <row r="139" spans="1:2" x14ac:dyDescent="0.25">
      <c r="A139" t="s">
        <v>139</v>
      </c>
      <c r="B139" s="46">
        <v>2.4489269833086291E-3</v>
      </c>
    </row>
    <row r="140" spans="1:2" x14ac:dyDescent="0.25">
      <c r="A140" t="s">
        <v>57</v>
      </c>
      <c r="B140" s="46">
        <v>3.3403805747670053E-2</v>
      </c>
    </row>
    <row r="141" spans="1:2" x14ac:dyDescent="0.25">
      <c r="A141" t="s">
        <v>140</v>
      </c>
      <c r="B141" s="46">
        <v>0.46518646259969826</v>
      </c>
    </row>
    <row r="142" spans="1:2" x14ac:dyDescent="0.25">
      <c r="A142" t="s">
        <v>141</v>
      </c>
      <c r="B142" s="46">
        <v>0.58911358911358913</v>
      </c>
    </row>
    <row r="143" spans="1:2" x14ac:dyDescent="0.25">
      <c r="A143" t="s">
        <v>86</v>
      </c>
      <c r="B143" s="46">
        <v>1.1314777098891152E-2</v>
      </c>
    </row>
    <row r="144" spans="1:2" x14ac:dyDescent="0.25">
      <c r="A144" t="s">
        <v>142</v>
      </c>
      <c r="B144" s="46">
        <v>5.3806474564212026E-3</v>
      </c>
    </row>
    <row r="145" spans="1:2" x14ac:dyDescent="0.25">
      <c r="A145" t="s">
        <v>143</v>
      </c>
      <c r="B145" s="46">
        <v>1.1738028544751236E-2</v>
      </c>
    </row>
    <row r="146" spans="1:2" x14ac:dyDescent="0.25">
      <c r="B146" s="46"/>
    </row>
    <row r="147" spans="1:2" x14ac:dyDescent="0.25">
      <c r="A147" s="39" t="s">
        <v>144</v>
      </c>
      <c r="B147" s="46"/>
    </row>
    <row r="148" spans="1:2" x14ac:dyDescent="0.25">
      <c r="A148" t="s">
        <v>71</v>
      </c>
      <c r="B148" s="46">
        <v>7.474705999716626E-4</v>
      </c>
    </row>
    <row r="149" spans="1:2" x14ac:dyDescent="0.25">
      <c r="A149" t="s">
        <v>74</v>
      </c>
      <c r="B149" s="46">
        <v>1.0815327227268196E-4</v>
      </c>
    </row>
    <row r="150" spans="1:2" x14ac:dyDescent="0.25">
      <c r="A150" t="s">
        <v>73</v>
      </c>
      <c r="B150" s="46">
        <v>2.3377521210823181E-4</v>
      </c>
    </row>
    <row r="151" spans="1:2" x14ac:dyDescent="0.25">
      <c r="A151" t="s">
        <v>63</v>
      </c>
      <c r="B151" s="46">
        <v>9.7459215964843717E-3</v>
      </c>
    </row>
    <row r="152" spans="1:2" x14ac:dyDescent="0.25">
      <c r="A152" t="s">
        <v>145</v>
      </c>
      <c r="B152" s="46">
        <v>9.0280922186622092E-2</v>
      </c>
    </row>
    <row r="153" spans="1:2" x14ac:dyDescent="0.25">
      <c r="A153" t="s">
        <v>146</v>
      </c>
      <c r="B153" s="46">
        <v>4.8633927027494387E-3</v>
      </c>
    </row>
    <row r="154" spans="1:2" x14ac:dyDescent="0.25">
      <c r="A154" t="s">
        <v>147</v>
      </c>
      <c r="B154" s="46">
        <v>7.2561700120633829E-5</v>
      </c>
    </row>
    <row r="155" spans="1:2" x14ac:dyDescent="0.25">
      <c r="A155" t="s">
        <v>79</v>
      </c>
      <c r="B155" s="46">
        <v>1.6061103576272396E-4</v>
      </c>
    </row>
    <row r="156" spans="1:2" x14ac:dyDescent="0.25">
      <c r="A156" t="s">
        <v>148</v>
      </c>
      <c r="B156" s="46">
        <v>2.0997567021038648E-4</v>
      </c>
    </row>
    <row r="157" spans="1:2" x14ac:dyDescent="0.25">
      <c r="A157" t="s">
        <v>149</v>
      </c>
      <c r="B157" s="46">
        <v>5.079271339929074E-4</v>
      </c>
    </row>
    <row r="158" spans="1:2" x14ac:dyDescent="0.25">
      <c r="A158" t="s">
        <v>150</v>
      </c>
      <c r="B158" s="46">
        <v>8.6430423509075201E-3</v>
      </c>
    </row>
    <row r="159" spans="1:2" x14ac:dyDescent="0.25">
      <c r="A159" t="s">
        <v>136</v>
      </c>
      <c r="B159" s="46">
        <v>6.6310554429913427E-3</v>
      </c>
    </row>
    <row r="160" spans="1:2" x14ac:dyDescent="0.25">
      <c r="A160" t="s">
        <v>72</v>
      </c>
      <c r="B160" s="46">
        <v>1.4023117453953601E-3</v>
      </c>
    </row>
    <row r="161" spans="1:2" x14ac:dyDescent="0.25">
      <c r="A161" t="s">
        <v>151</v>
      </c>
      <c r="B161" s="46">
        <v>1.2362690999487562E-4</v>
      </c>
    </row>
    <row r="162" spans="1:2" x14ac:dyDescent="0.25">
      <c r="A162" t="s">
        <v>152</v>
      </c>
      <c r="B162" s="46">
        <v>6.5756740545337734E-3</v>
      </c>
    </row>
    <row r="163" spans="1:2" x14ac:dyDescent="0.25">
      <c r="A163" t="s">
        <v>66</v>
      </c>
      <c r="B163" s="46">
        <v>3.0026265914345034E-3</v>
      </c>
    </row>
    <row r="164" spans="1:2" x14ac:dyDescent="0.25">
      <c r="A164" t="s">
        <v>153</v>
      </c>
      <c r="B164" s="46">
        <v>2.6193095500026193E-8</v>
      </c>
    </row>
    <row r="165" spans="1:2" x14ac:dyDescent="0.25">
      <c r="A165" t="s">
        <v>99</v>
      </c>
      <c r="B165" s="46">
        <v>1.4216389519183163E-5</v>
      </c>
    </row>
    <row r="166" spans="1:2" x14ac:dyDescent="0.25">
      <c r="A166" t="s">
        <v>154</v>
      </c>
      <c r="B166" s="46">
        <v>1.2104880197641134E-4</v>
      </c>
    </row>
    <row r="167" spans="1:2" x14ac:dyDescent="0.25">
      <c r="A167" t="s">
        <v>59</v>
      </c>
      <c r="B167" s="46">
        <v>0.3868109857681204</v>
      </c>
    </row>
    <row r="168" spans="1:2" x14ac:dyDescent="0.25">
      <c r="A168" t="s">
        <v>155</v>
      </c>
      <c r="B168" s="46">
        <v>1.5778395589622863E-6</v>
      </c>
    </row>
    <row r="169" spans="1:2" x14ac:dyDescent="0.25">
      <c r="A169" t="s">
        <v>55</v>
      </c>
      <c r="B169" s="46">
        <v>8.7263415848785712E-3</v>
      </c>
    </row>
    <row r="170" spans="1:2" x14ac:dyDescent="0.25">
      <c r="A170" t="s">
        <v>156</v>
      </c>
      <c r="B170" s="46">
        <v>0.17002947177510769</v>
      </c>
    </row>
    <row r="171" spans="1:2" x14ac:dyDescent="0.25">
      <c r="B171" s="46"/>
    </row>
    <row r="172" spans="1:2" x14ac:dyDescent="0.25">
      <c r="B172" s="46"/>
    </row>
    <row r="173" spans="1:2" x14ac:dyDescent="0.25">
      <c r="B173" s="46"/>
    </row>
    <row r="174" spans="1:2" x14ac:dyDescent="0.25">
      <c r="B174" s="46"/>
    </row>
    <row r="175" spans="1:2" x14ac:dyDescent="0.25">
      <c r="B175" s="46"/>
    </row>
    <row r="176" spans="1:2" x14ac:dyDescent="0.25">
      <c r="B176" s="46"/>
    </row>
    <row r="177" spans="2:2" x14ac:dyDescent="0.25">
      <c r="B177" s="46"/>
    </row>
    <row r="178" spans="2:2" x14ac:dyDescent="0.25">
      <c r="B178" s="46"/>
    </row>
    <row r="179" spans="2:2" x14ac:dyDescent="0.25">
      <c r="B179" s="46"/>
    </row>
    <row r="180" spans="2:2" x14ac:dyDescent="0.25">
      <c r="B180" s="46"/>
    </row>
    <row r="181" spans="2:2" x14ac:dyDescent="0.25">
      <c r="B181" s="46"/>
    </row>
    <row r="182" spans="2:2" x14ac:dyDescent="0.25">
      <c r="B182" s="46"/>
    </row>
    <row r="183" spans="2:2" x14ac:dyDescent="0.25">
      <c r="B183" s="46"/>
    </row>
    <row r="184" spans="2:2" x14ac:dyDescent="0.25">
      <c r="B184" s="46"/>
    </row>
    <row r="185" spans="2:2" x14ac:dyDescent="0.25">
      <c r="B185" s="46"/>
    </row>
    <row r="186" spans="2:2" x14ac:dyDescent="0.25">
      <c r="B186" s="46"/>
    </row>
    <row r="187" spans="2:2" x14ac:dyDescent="0.25">
      <c r="B187" s="46"/>
    </row>
    <row r="188" spans="2:2" x14ac:dyDescent="0.25">
      <c r="B188" s="46"/>
    </row>
    <row r="189" spans="2:2" x14ac:dyDescent="0.25">
      <c r="B189" s="46"/>
    </row>
    <row r="190" spans="2:2" x14ac:dyDescent="0.25">
      <c r="B190" s="46"/>
    </row>
    <row r="191" spans="2:2" x14ac:dyDescent="0.25">
      <c r="B191" s="46"/>
    </row>
    <row r="192" spans="2:2" x14ac:dyDescent="0.25">
      <c r="B192" s="46"/>
    </row>
    <row r="193" spans="2:2" x14ac:dyDescent="0.25">
      <c r="B193" s="46"/>
    </row>
    <row r="194" spans="2:2" x14ac:dyDescent="0.25">
      <c r="B194" s="46"/>
    </row>
    <row r="195" spans="2:2" x14ac:dyDescent="0.25">
      <c r="B195" s="46"/>
    </row>
    <row r="196" spans="2:2" x14ac:dyDescent="0.25">
      <c r="B196" s="46"/>
    </row>
    <row r="197" spans="2:2" x14ac:dyDescent="0.25">
      <c r="B197" s="46"/>
    </row>
    <row r="198" spans="2:2" x14ac:dyDescent="0.25">
      <c r="B198" s="46"/>
    </row>
    <row r="199" spans="2:2" x14ac:dyDescent="0.25">
      <c r="B199" s="46"/>
    </row>
    <row r="200" spans="2:2" x14ac:dyDescent="0.25">
      <c r="B200" s="46"/>
    </row>
    <row r="201" spans="2:2" x14ac:dyDescent="0.25">
      <c r="B201" s="46"/>
    </row>
    <row r="202" spans="2:2" x14ac:dyDescent="0.25">
      <c r="B202" s="46"/>
    </row>
    <row r="203" spans="2:2" x14ac:dyDescent="0.25">
      <c r="B203" s="46"/>
    </row>
    <row r="204" spans="2:2" x14ac:dyDescent="0.25">
      <c r="B204" s="46"/>
    </row>
    <row r="205" spans="2:2" x14ac:dyDescent="0.25">
      <c r="B205" s="46"/>
    </row>
    <row r="206" spans="2:2" x14ac:dyDescent="0.25">
      <c r="B206" s="46"/>
    </row>
    <row r="207" spans="2:2" x14ac:dyDescent="0.25">
      <c r="B207" s="46"/>
    </row>
    <row r="208" spans="2:2" x14ac:dyDescent="0.25">
      <c r="B208" s="46"/>
    </row>
    <row r="209" spans="2:2" x14ac:dyDescent="0.25">
      <c r="B209" s="46"/>
    </row>
    <row r="210" spans="2:2" x14ac:dyDescent="0.25">
      <c r="B210" s="46"/>
    </row>
    <row r="211" spans="2:2" x14ac:dyDescent="0.25">
      <c r="B211" s="46"/>
    </row>
    <row r="212" spans="2:2" x14ac:dyDescent="0.25">
      <c r="B212" s="46"/>
    </row>
    <row r="213" spans="2:2" x14ac:dyDescent="0.25">
      <c r="B213" s="46"/>
    </row>
    <row r="214" spans="2:2" x14ac:dyDescent="0.25">
      <c r="B214" s="46"/>
    </row>
    <row r="215" spans="2:2" x14ac:dyDescent="0.25">
      <c r="B215" s="46"/>
    </row>
    <row r="216" spans="2:2" x14ac:dyDescent="0.25">
      <c r="B216" s="46"/>
    </row>
    <row r="217" spans="2:2" x14ac:dyDescent="0.25">
      <c r="B217" s="46"/>
    </row>
    <row r="218" spans="2:2" x14ac:dyDescent="0.25">
      <c r="B218" s="46"/>
    </row>
    <row r="219" spans="2:2" x14ac:dyDescent="0.25">
      <c r="B219" s="46"/>
    </row>
    <row r="220" spans="2:2" x14ac:dyDescent="0.25">
      <c r="B220" s="46"/>
    </row>
    <row r="221" spans="2:2" x14ac:dyDescent="0.25">
      <c r="B221" s="46"/>
    </row>
    <row r="222" spans="2:2" x14ac:dyDescent="0.25">
      <c r="B222" s="46"/>
    </row>
    <row r="223" spans="2:2" x14ac:dyDescent="0.25">
      <c r="B223" s="46"/>
    </row>
    <row r="224" spans="2:2" x14ac:dyDescent="0.25">
      <c r="B224" s="46"/>
    </row>
    <row r="225" spans="2:2" x14ac:dyDescent="0.25">
      <c r="B225" s="46"/>
    </row>
    <row r="226" spans="2:2" x14ac:dyDescent="0.25">
      <c r="B226" s="46"/>
    </row>
    <row r="227" spans="2:2" x14ac:dyDescent="0.25">
      <c r="B227" s="46"/>
    </row>
    <row r="228" spans="2:2" x14ac:dyDescent="0.25">
      <c r="B228" s="46"/>
    </row>
    <row r="229" spans="2:2" x14ac:dyDescent="0.25">
      <c r="B229" s="46"/>
    </row>
    <row r="230" spans="2:2" x14ac:dyDescent="0.25">
      <c r="B230" s="46"/>
    </row>
    <row r="231" spans="2:2" x14ac:dyDescent="0.25">
      <c r="B231" s="46"/>
    </row>
    <row r="232" spans="2:2" x14ac:dyDescent="0.25">
      <c r="B232" s="46"/>
    </row>
    <row r="233" spans="2:2" x14ac:dyDescent="0.25">
      <c r="B233" s="46"/>
    </row>
    <row r="234" spans="2:2" x14ac:dyDescent="0.25">
      <c r="B234" s="46"/>
    </row>
    <row r="235" spans="2:2" x14ac:dyDescent="0.25">
      <c r="B235" s="46"/>
    </row>
    <row r="236" spans="2:2" x14ac:dyDescent="0.25">
      <c r="B236" s="46"/>
    </row>
    <row r="237" spans="2:2" x14ac:dyDescent="0.25">
      <c r="B237" s="46"/>
    </row>
    <row r="238" spans="2:2" x14ac:dyDescent="0.25">
      <c r="B238" s="46"/>
    </row>
    <row r="239" spans="2:2" x14ac:dyDescent="0.25">
      <c r="B239" s="46"/>
    </row>
    <row r="240" spans="2:2" x14ac:dyDescent="0.25">
      <c r="B240" s="46"/>
    </row>
    <row r="241" spans="2:2" x14ac:dyDescent="0.25">
      <c r="B241" s="46"/>
    </row>
    <row r="242" spans="2:2" x14ac:dyDescent="0.25">
      <c r="B242" s="46"/>
    </row>
    <row r="243" spans="2:2" x14ac:dyDescent="0.25">
      <c r="B243" s="46"/>
    </row>
    <row r="244" spans="2:2" x14ac:dyDescent="0.25">
      <c r="B244" s="46"/>
    </row>
    <row r="245" spans="2:2" x14ac:dyDescent="0.25">
      <c r="B245" s="46"/>
    </row>
    <row r="246" spans="2:2" x14ac:dyDescent="0.25">
      <c r="B246" s="46"/>
    </row>
    <row r="247" spans="2:2" x14ac:dyDescent="0.25">
      <c r="B247" s="46"/>
    </row>
    <row r="248" spans="2:2" x14ac:dyDescent="0.25">
      <c r="B248" s="46"/>
    </row>
    <row r="249" spans="2:2" x14ac:dyDescent="0.25">
      <c r="B249" s="46"/>
    </row>
    <row r="250" spans="2:2" x14ac:dyDescent="0.25">
      <c r="B250" s="46"/>
    </row>
    <row r="251" spans="2:2" x14ac:dyDescent="0.25">
      <c r="B251" s="46"/>
    </row>
    <row r="252" spans="2:2" x14ac:dyDescent="0.25">
      <c r="B252" s="46"/>
    </row>
    <row r="253" spans="2:2" x14ac:dyDescent="0.25">
      <c r="B253" s="46"/>
    </row>
    <row r="254" spans="2:2" x14ac:dyDescent="0.25">
      <c r="B254" s="46"/>
    </row>
    <row r="255" spans="2:2" x14ac:dyDescent="0.25">
      <c r="B255" s="46"/>
    </row>
    <row r="256" spans="2:2" x14ac:dyDescent="0.25">
      <c r="B256" s="46"/>
    </row>
    <row r="257" spans="2:2" x14ac:dyDescent="0.25">
      <c r="B257" s="46"/>
    </row>
    <row r="258" spans="2:2" x14ac:dyDescent="0.25">
      <c r="B258" s="46"/>
    </row>
    <row r="259" spans="2:2" x14ac:dyDescent="0.25">
      <c r="B259" s="46"/>
    </row>
    <row r="260" spans="2:2" x14ac:dyDescent="0.25">
      <c r="B260" s="46"/>
    </row>
    <row r="261" spans="2:2" x14ac:dyDescent="0.25">
      <c r="B261" s="46"/>
    </row>
    <row r="262" spans="2:2" x14ac:dyDescent="0.25">
      <c r="B262" s="46"/>
    </row>
    <row r="263" spans="2:2" x14ac:dyDescent="0.25">
      <c r="B263" s="46"/>
    </row>
    <row r="264" spans="2:2" x14ac:dyDescent="0.25">
      <c r="B264" s="46"/>
    </row>
    <row r="265" spans="2:2" x14ac:dyDescent="0.25">
      <c r="B265" s="46"/>
    </row>
    <row r="266" spans="2:2" x14ac:dyDescent="0.25">
      <c r="B266" s="46"/>
    </row>
    <row r="267" spans="2:2" x14ac:dyDescent="0.25">
      <c r="B267" s="46"/>
    </row>
    <row r="268" spans="2:2" x14ac:dyDescent="0.25">
      <c r="B268" s="46"/>
    </row>
    <row r="269" spans="2:2" x14ac:dyDescent="0.25">
      <c r="B269" s="46"/>
    </row>
    <row r="270" spans="2:2" x14ac:dyDescent="0.25">
      <c r="B270" s="46"/>
    </row>
    <row r="271" spans="2:2" x14ac:dyDescent="0.25">
      <c r="B271" s="46"/>
    </row>
    <row r="272" spans="2:2" x14ac:dyDescent="0.25">
      <c r="B272" s="46"/>
    </row>
    <row r="273" spans="2:2" x14ac:dyDescent="0.25">
      <c r="B273" s="46"/>
    </row>
    <row r="274" spans="2:2" x14ac:dyDescent="0.25">
      <c r="B274" s="46"/>
    </row>
    <row r="275" spans="2:2" x14ac:dyDescent="0.25">
      <c r="B275" s="46"/>
    </row>
    <row r="276" spans="2:2" x14ac:dyDescent="0.25">
      <c r="B276" s="46"/>
    </row>
    <row r="277" spans="2:2" x14ac:dyDescent="0.25">
      <c r="B277" s="46"/>
    </row>
    <row r="278" spans="2:2" x14ac:dyDescent="0.25">
      <c r="B278" s="46"/>
    </row>
    <row r="279" spans="2:2" x14ac:dyDescent="0.25">
      <c r="B279" s="46"/>
    </row>
    <row r="280" spans="2:2" x14ac:dyDescent="0.25">
      <c r="B280" s="46"/>
    </row>
    <row r="281" spans="2:2" x14ac:dyDescent="0.25">
      <c r="B281" s="46"/>
    </row>
    <row r="282" spans="2:2" x14ac:dyDescent="0.25">
      <c r="B282" s="46"/>
    </row>
    <row r="283" spans="2:2" x14ac:dyDescent="0.25">
      <c r="B283" s="46"/>
    </row>
    <row r="284" spans="2:2" x14ac:dyDescent="0.25">
      <c r="B284" s="46"/>
    </row>
    <row r="285" spans="2:2" x14ac:dyDescent="0.25">
      <c r="B285" s="46"/>
    </row>
    <row r="286" spans="2:2" x14ac:dyDescent="0.25">
      <c r="B286" s="46"/>
    </row>
  </sheetData>
  <customSheetViews>
    <customSheetView guid="{821D1691-1FA5-412F-8FF4-9E35B3587D16}">
      <selection activeCell="D20" sqref="D20"/>
      <pageMargins left="0.7" right="0.7" top="0.75" bottom="0.75" header="0.3" footer="0.3"/>
      <pageSetup paperSize="9" orientation="landscape" horizontalDpi="4294967292" verticalDpi="4294967292" r:id="rId1"/>
    </customSheetView>
  </customSheetViews>
  <conditionalFormatting sqref="C15:C23">
    <cfRule type="expression" dxfId="7" priority="5">
      <formula>IF(C15&gt;0,TRUE,FALSE)</formula>
    </cfRule>
    <cfRule type="expression" dxfId="6" priority="6">
      <formula>IF(C15&lt;0,TRUE,FALSE)</formula>
    </cfRule>
  </conditionalFormatting>
  <conditionalFormatting sqref="D15:D23">
    <cfRule type="expression" dxfId="5" priority="3">
      <formula>IF(D15&gt;0,TRUE,FALSE)</formula>
    </cfRule>
    <cfRule type="expression" dxfId="4" priority="4">
      <formula>IF(D15&lt;0,TRUE,FALSE)</formula>
    </cfRule>
  </conditionalFormatting>
  <conditionalFormatting sqref="A33:B170">
    <cfRule type="expression" dxfId="3" priority="1" stopIfTrue="1">
      <formula>IF($B33&gt;0.1,TRUE,FALSE)</formula>
    </cfRule>
    <cfRule type="expression" dxfId="2" priority="2">
      <formula>IF($B33&gt;0.05,TRUE,FALSE)</formula>
    </cfRule>
  </conditionalFormatting>
  <pageMargins left="0.7" right="0.7" top="0.75" bottom="0.75" header="0.3" footer="0.3"/>
  <pageSetup paperSize="9" orientation="landscape" horizontalDpi="4294967292" verticalDpi="4294967292"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59"/>
  <sheetViews>
    <sheetView topLeftCell="A33" workbookViewId="0">
      <selection activeCell="E55" sqref="E55"/>
    </sheetView>
  </sheetViews>
  <sheetFormatPr defaultRowHeight="15" x14ac:dyDescent="0.25"/>
  <cols>
    <col min="1" max="1" width="26" customWidth="1"/>
    <col min="2" max="2" width="16.5703125" bestFit="1" customWidth="1"/>
    <col min="3" max="3" width="14.140625" bestFit="1" customWidth="1"/>
    <col min="4" max="4" width="16.140625" bestFit="1" customWidth="1"/>
    <col min="5" max="5" width="14.28515625" bestFit="1" customWidth="1"/>
    <col min="6" max="7" width="16.5703125" bestFit="1" customWidth="1"/>
    <col min="8" max="8" width="14.140625" bestFit="1" customWidth="1"/>
    <col min="10" max="10" width="23.28515625" bestFit="1" customWidth="1"/>
    <col min="11" max="11" width="14.140625" bestFit="1" customWidth="1"/>
  </cols>
  <sheetData>
    <row r="1" spans="1:15" ht="14.45" x14ac:dyDescent="0.5">
      <c r="A1" s="4" t="s">
        <v>18</v>
      </c>
      <c r="B1" s="5"/>
      <c r="C1" s="5"/>
      <c r="D1" s="5"/>
      <c r="F1" s="5"/>
      <c r="G1" s="5"/>
      <c r="H1" s="5"/>
      <c r="I1" s="5"/>
      <c r="J1" s="5"/>
      <c r="K1" s="5"/>
    </row>
    <row r="2" spans="1:15" ht="14.45" x14ac:dyDescent="0.5">
      <c r="A2" s="6" t="s">
        <v>19</v>
      </c>
      <c r="B2" s="5"/>
      <c r="C2" s="5"/>
      <c r="D2" s="5"/>
      <c r="F2" s="5"/>
      <c r="G2" s="5"/>
      <c r="H2" s="5"/>
      <c r="I2" s="5"/>
      <c r="J2" s="5"/>
      <c r="K2" s="5"/>
    </row>
    <row r="3" spans="1:15" ht="14.45" x14ac:dyDescent="0.5">
      <c r="B3" s="5"/>
      <c r="C3" s="5"/>
      <c r="D3" s="5"/>
      <c r="F3" s="5"/>
      <c r="G3" s="5"/>
      <c r="H3" s="5"/>
      <c r="I3" s="5"/>
      <c r="J3" s="5"/>
      <c r="K3" s="5"/>
    </row>
    <row r="4" spans="1:15" ht="14.45" x14ac:dyDescent="0.5">
      <c r="A4" s="6" t="s">
        <v>20</v>
      </c>
      <c r="B4" s="5"/>
      <c r="C4" s="5"/>
      <c r="D4" s="5"/>
      <c r="F4" s="5"/>
      <c r="G4" s="5"/>
      <c r="H4" s="5"/>
      <c r="I4" s="5"/>
      <c r="J4" s="5"/>
      <c r="K4" s="5"/>
    </row>
    <row r="5" spans="1:15" ht="14.45" x14ac:dyDescent="0.5">
      <c r="A5" s="6" t="s">
        <v>21</v>
      </c>
      <c r="B5" s="5"/>
      <c r="C5" s="5"/>
      <c r="D5" s="5"/>
      <c r="F5" s="5"/>
      <c r="G5" s="5"/>
      <c r="H5" s="5"/>
      <c r="I5" s="5"/>
      <c r="J5" s="5"/>
      <c r="K5" s="5"/>
    </row>
    <row r="6" spans="1:15" ht="14.45" x14ac:dyDescent="0.5">
      <c r="A6" s="7"/>
      <c r="B6" s="5"/>
      <c r="C6" s="5"/>
      <c r="D6" s="5"/>
      <c r="F6" s="5"/>
      <c r="G6" s="5"/>
      <c r="H6" s="5"/>
      <c r="I6" s="5"/>
      <c r="J6" s="5"/>
      <c r="K6" s="5"/>
    </row>
    <row r="7" spans="1:15" ht="14.45" x14ac:dyDescent="0.5">
      <c r="A7" s="8" t="s">
        <v>22</v>
      </c>
      <c r="B7" s="9" t="s">
        <v>23</v>
      </c>
      <c r="C7" s="10" t="s">
        <v>24</v>
      </c>
      <c r="D7" s="9"/>
      <c r="E7" s="9"/>
      <c r="F7" s="9"/>
      <c r="G7" s="9" t="s">
        <v>25</v>
      </c>
      <c r="H7" s="9" t="s">
        <v>26</v>
      </c>
      <c r="I7" s="9"/>
      <c r="J7" s="9"/>
      <c r="K7" s="9" t="s">
        <v>27</v>
      </c>
    </row>
    <row r="8" spans="1:15" ht="14.45" x14ac:dyDescent="0.5">
      <c r="A8" s="11"/>
      <c r="B8" s="8"/>
      <c r="D8" s="8"/>
      <c r="E8" s="8"/>
      <c r="F8" s="8"/>
      <c r="G8" s="8"/>
      <c r="H8" s="8"/>
      <c r="I8" s="8"/>
      <c r="J8" s="8"/>
      <c r="K8" s="8"/>
    </row>
    <row r="9" spans="1:15" ht="14.45" x14ac:dyDescent="0.5">
      <c r="A9" s="12" t="s">
        <v>0</v>
      </c>
      <c r="B9" s="13" t="s">
        <v>2</v>
      </c>
      <c r="C9" s="12" t="s">
        <v>3</v>
      </c>
      <c r="D9" s="12" t="s">
        <v>7</v>
      </c>
      <c r="E9" s="12" t="s">
        <v>5</v>
      </c>
      <c r="F9" s="12" t="s">
        <v>9</v>
      </c>
      <c r="G9" s="12" t="s">
        <v>6</v>
      </c>
      <c r="H9" s="12" t="s">
        <v>4</v>
      </c>
      <c r="I9" s="12" t="s">
        <v>8</v>
      </c>
      <c r="J9" s="12" t="s">
        <v>10</v>
      </c>
      <c r="K9" s="12" t="s">
        <v>1</v>
      </c>
      <c r="N9" s="12" t="s">
        <v>6</v>
      </c>
      <c r="O9" s="12" t="s">
        <v>9</v>
      </c>
    </row>
    <row r="10" spans="1:15" ht="14.45" x14ac:dyDescent="0.5">
      <c r="A10" s="12">
        <v>1</v>
      </c>
      <c r="B10" s="14">
        <v>2</v>
      </c>
      <c r="C10" s="15">
        <v>3</v>
      </c>
      <c r="D10" s="16">
        <v>4</v>
      </c>
      <c r="E10" s="17">
        <v>5</v>
      </c>
      <c r="F10" s="15">
        <v>6</v>
      </c>
      <c r="G10" s="15">
        <v>7</v>
      </c>
      <c r="H10" s="14">
        <v>8</v>
      </c>
      <c r="I10" s="14">
        <v>9</v>
      </c>
      <c r="J10" s="14">
        <v>10</v>
      </c>
      <c r="K10" s="18">
        <v>11</v>
      </c>
      <c r="N10" s="15"/>
      <c r="O10" s="15">
        <v>6</v>
      </c>
    </row>
    <row r="11" spans="1:15" ht="14.45" x14ac:dyDescent="0.5">
      <c r="A11" s="12" t="s">
        <v>28</v>
      </c>
      <c r="B11" s="19" t="s">
        <v>29</v>
      </c>
      <c r="C11" s="19" t="s">
        <v>30</v>
      </c>
      <c r="D11" s="20" t="s">
        <v>31</v>
      </c>
      <c r="E11" s="21"/>
      <c r="F11" s="19" t="s">
        <v>32</v>
      </c>
      <c r="G11" s="19" t="s">
        <v>33</v>
      </c>
      <c r="H11" s="19" t="s">
        <v>34</v>
      </c>
      <c r="I11" s="19" t="s">
        <v>35</v>
      </c>
      <c r="J11" s="19"/>
      <c r="K11" s="19" t="s">
        <v>36</v>
      </c>
      <c r="N11" s="19" t="s">
        <v>33</v>
      </c>
      <c r="O11" s="19" t="s">
        <v>32</v>
      </c>
    </row>
    <row r="12" spans="1:15" ht="14.45" x14ac:dyDescent="0.5">
      <c r="A12" s="22" t="s">
        <v>37</v>
      </c>
      <c r="B12" s="23" t="s">
        <v>38</v>
      </c>
      <c r="C12" s="24" t="s">
        <v>39</v>
      </c>
      <c r="D12" s="25" t="s">
        <v>40</v>
      </c>
      <c r="E12" s="26" t="s">
        <v>41</v>
      </c>
      <c r="F12" s="27" t="s">
        <v>38</v>
      </c>
      <c r="G12" s="27" t="s">
        <v>38</v>
      </c>
      <c r="H12" s="28" t="s">
        <v>42</v>
      </c>
      <c r="I12" s="28" t="s">
        <v>43</v>
      </c>
      <c r="J12" s="23" t="s">
        <v>38</v>
      </c>
      <c r="K12" s="29" t="s">
        <v>44</v>
      </c>
      <c r="N12" s="30" t="s">
        <v>45</v>
      </c>
      <c r="O12" s="24" t="s">
        <v>46</v>
      </c>
    </row>
    <row r="13" spans="1:15" ht="14.45" x14ac:dyDescent="0.5">
      <c r="B13" s="5"/>
      <c r="C13" s="5"/>
      <c r="D13" s="31"/>
      <c r="F13" s="5"/>
      <c r="G13" s="5"/>
      <c r="H13" s="5"/>
      <c r="I13" s="5"/>
      <c r="J13" s="5"/>
      <c r="K13" s="5"/>
      <c r="N13" s="5"/>
      <c r="O13" s="5"/>
    </row>
    <row r="14" spans="1:15" ht="14.45" x14ac:dyDescent="0.5">
      <c r="B14" s="5"/>
      <c r="C14" s="5"/>
      <c r="D14" s="31"/>
      <c r="F14" s="5" t="s">
        <v>9</v>
      </c>
      <c r="G14" s="5"/>
      <c r="H14" s="5"/>
      <c r="I14" s="5"/>
      <c r="J14" s="5"/>
      <c r="K14" s="5"/>
      <c r="N14" s="5"/>
      <c r="O14" s="5" t="s">
        <v>9</v>
      </c>
    </row>
    <row r="15" spans="1:15" ht="14.45" x14ac:dyDescent="0.5">
      <c r="A15">
        <v>1970</v>
      </c>
      <c r="B15" s="32">
        <v>1</v>
      </c>
      <c r="C15" s="32">
        <v>1.0923226298891169</v>
      </c>
      <c r="D15" s="32">
        <v>362.83333333333331</v>
      </c>
      <c r="E15" s="32">
        <v>0.68529698870564104</v>
      </c>
      <c r="F15" s="32">
        <v>1</v>
      </c>
      <c r="G15" s="32">
        <v>1</v>
      </c>
      <c r="H15" s="32">
        <v>3.4957890585964932</v>
      </c>
      <c r="I15" s="32">
        <v>218.91182131632277</v>
      </c>
      <c r="J15" s="32">
        <v>1</v>
      </c>
      <c r="K15" s="32">
        <v>1.5155876736613874</v>
      </c>
      <c r="N15" s="32">
        <v>21.526119005977908</v>
      </c>
      <c r="O15" s="32">
        <v>15.108957507646528</v>
      </c>
    </row>
    <row r="16" spans="1:15" ht="14.45" x14ac:dyDescent="0.5">
      <c r="A16">
        <v>1971</v>
      </c>
      <c r="B16" s="32">
        <v>1</v>
      </c>
      <c r="C16" s="5">
        <v>1.0711710524802602</v>
      </c>
      <c r="D16" s="5">
        <v>391.875</v>
      </c>
      <c r="E16" s="5">
        <v>0.65693869508944092</v>
      </c>
      <c r="F16" s="32">
        <v>1</v>
      </c>
      <c r="G16" s="5">
        <v>1</v>
      </c>
      <c r="H16" s="5">
        <v>3.4673966972729424</v>
      </c>
      <c r="I16" s="5">
        <v>209.48294556237144</v>
      </c>
      <c r="J16" s="32">
        <v>1</v>
      </c>
      <c r="K16" s="5">
        <v>1.4576995372177872</v>
      </c>
      <c r="N16" s="5">
        <v>21.635226255735635</v>
      </c>
      <c r="O16" s="5">
        <v>17.419027381041275</v>
      </c>
    </row>
    <row r="17" spans="1:15" ht="14.45" x14ac:dyDescent="0.5">
      <c r="A17">
        <v>1972</v>
      </c>
      <c r="B17" s="32">
        <v>1</v>
      </c>
      <c r="C17" s="5">
        <v>1.0354320429257244</v>
      </c>
      <c r="D17" s="5">
        <v>415</v>
      </c>
      <c r="E17" s="5">
        <v>0.59127884262492714</v>
      </c>
      <c r="F17" s="32">
        <v>1</v>
      </c>
      <c r="G17" s="5">
        <v>1</v>
      </c>
      <c r="H17" s="5">
        <v>3.1071098636604062</v>
      </c>
      <c r="I17" s="5">
        <v>178.96412821942553</v>
      </c>
      <c r="J17" s="32">
        <v>1</v>
      </c>
      <c r="K17" s="5">
        <v>1.3573790776484496</v>
      </c>
      <c r="N17" s="5">
        <v>21.198960808855105</v>
      </c>
      <c r="O17" s="5">
        <v>20.667278526356515</v>
      </c>
    </row>
    <row r="18" spans="1:15" ht="14.45" x14ac:dyDescent="0.5">
      <c r="A18">
        <v>1973</v>
      </c>
      <c r="B18" s="32">
        <v>1</v>
      </c>
      <c r="C18" s="5">
        <v>1.0325171862422342</v>
      </c>
      <c r="D18" s="5">
        <v>415</v>
      </c>
      <c r="E18" s="5">
        <v>0.50669858805068002</v>
      </c>
      <c r="F18" s="32">
        <v>1</v>
      </c>
      <c r="G18" s="5">
        <v>1</v>
      </c>
      <c r="H18" s="5">
        <v>2.7806999515825002</v>
      </c>
      <c r="I18" s="5">
        <v>152.7842369094854</v>
      </c>
      <c r="J18" s="32">
        <v>1</v>
      </c>
      <c r="K18" s="5">
        <v>1.1079534310505834</v>
      </c>
      <c r="N18" s="5">
        <v>19.702002481083269</v>
      </c>
      <c r="O18" s="5">
        <v>24.189157002541915</v>
      </c>
    </row>
    <row r="19" spans="1:15" x14ac:dyDescent="0.25">
      <c r="A19">
        <v>1974</v>
      </c>
      <c r="B19" s="32">
        <v>1</v>
      </c>
      <c r="C19" s="5">
        <v>1.0112714267399736</v>
      </c>
      <c r="D19" s="5">
        <v>415</v>
      </c>
      <c r="E19" s="5">
        <v>0.52419241566222385</v>
      </c>
      <c r="F19" s="32">
        <v>1</v>
      </c>
      <c r="G19" s="5">
        <v>1</v>
      </c>
      <c r="H19" s="5">
        <v>2.8957443311708908</v>
      </c>
      <c r="I19" s="5">
        <v>147.92654758616899</v>
      </c>
      <c r="J19" s="32">
        <v>1</v>
      </c>
      <c r="K19" s="5">
        <v>1.05561555986565</v>
      </c>
      <c r="N19" s="5">
        <v>17.827087554508797</v>
      </c>
      <c r="O19" s="5">
        <v>29.58842635003985</v>
      </c>
    </row>
    <row r="20" spans="1:15" x14ac:dyDescent="0.25">
      <c r="A20">
        <v>1975</v>
      </c>
      <c r="B20" s="32">
        <v>1</v>
      </c>
      <c r="C20" s="5">
        <v>1.0359193075565094</v>
      </c>
      <c r="D20" s="5">
        <v>415</v>
      </c>
      <c r="E20" s="5">
        <v>0.51008454029324968</v>
      </c>
      <c r="F20" s="32">
        <v>1</v>
      </c>
      <c r="G20" s="5">
        <v>1</v>
      </c>
      <c r="H20" s="5">
        <v>2.8529777589711522</v>
      </c>
      <c r="I20" s="5">
        <v>146.74148539077453</v>
      </c>
      <c r="J20" s="32">
        <v>1</v>
      </c>
      <c r="K20" s="5">
        <v>1.0964386257590713</v>
      </c>
      <c r="N20" s="5">
        <v>18.976409393038164</v>
      </c>
      <c r="O20" s="5">
        <v>35.551431198626247</v>
      </c>
    </row>
    <row r="21" spans="1:15" x14ac:dyDescent="0.25">
      <c r="A21">
        <v>1976</v>
      </c>
      <c r="B21" s="32">
        <v>1</v>
      </c>
      <c r="C21" s="5">
        <v>0.98749630154440371</v>
      </c>
      <c r="D21" s="5">
        <v>415</v>
      </c>
      <c r="E21" s="5">
        <v>0.55107762705874663</v>
      </c>
      <c r="F21" s="32">
        <v>1</v>
      </c>
      <c r="G21" s="5">
        <v>1</v>
      </c>
      <c r="H21" s="5">
        <v>2.9953152157580383</v>
      </c>
      <c r="I21" s="5">
        <v>141.73894940404895</v>
      </c>
      <c r="J21" s="32">
        <v>1</v>
      </c>
      <c r="K21" s="5">
        <v>1.0951086503507013</v>
      </c>
      <c r="N21" s="5">
        <v>23.188672063089502</v>
      </c>
      <c r="O21" s="5">
        <v>41.397067795202027</v>
      </c>
    </row>
    <row r="22" spans="1:15" x14ac:dyDescent="0.25">
      <c r="A22">
        <v>1977</v>
      </c>
      <c r="B22" s="32">
        <v>1</v>
      </c>
      <c r="C22" s="5">
        <v>1.050155546840158</v>
      </c>
      <c r="D22" s="5">
        <v>415</v>
      </c>
      <c r="E22" s="5">
        <v>0.54645816188391805</v>
      </c>
      <c r="F22" s="32">
        <v>1</v>
      </c>
      <c r="G22" s="5">
        <v>1</v>
      </c>
      <c r="H22" s="5">
        <v>2.8724164229407023</v>
      </c>
      <c r="I22" s="5">
        <v>126.29113945198175</v>
      </c>
      <c r="J22" s="32">
        <v>1</v>
      </c>
      <c r="K22" s="5">
        <v>1.143597388035994</v>
      </c>
      <c r="N22" s="5">
        <v>22.231783204065305</v>
      </c>
      <c r="O22" s="5">
        <v>48.555531875953797</v>
      </c>
    </row>
    <row r="23" spans="1:15" x14ac:dyDescent="0.25">
      <c r="A23">
        <v>1978</v>
      </c>
      <c r="B23" s="32">
        <v>1</v>
      </c>
      <c r="C23" s="5">
        <v>1.1133220923645437</v>
      </c>
      <c r="D23" s="5">
        <v>442.04500000000002</v>
      </c>
      <c r="E23" s="5">
        <v>0.51331348378918495</v>
      </c>
      <c r="F23" s="32">
        <v>1</v>
      </c>
      <c r="G23" s="5">
        <v>1</v>
      </c>
      <c r="H23" s="5">
        <v>2.6939507332201589</v>
      </c>
      <c r="I23" s="5">
        <v>102.1545135443933</v>
      </c>
      <c r="J23" s="32">
        <v>1</v>
      </c>
      <c r="K23" s="5">
        <v>1.105190398794994</v>
      </c>
      <c r="N23" s="5">
        <v>21.879819185139187</v>
      </c>
      <c r="O23" s="5">
        <v>57.582300343469875</v>
      </c>
    </row>
    <row r="24" spans="1:15" x14ac:dyDescent="0.25">
      <c r="A24">
        <v>1979</v>
      </c>
      <c r="B24" s="32">
        <v>1</v>
      </c>
      <c r="C24" s="5">
        <v>1.1652378524281075</v>
      </c>
      <c r="D24" s="5">
        <v>623.05583333333334</v>
      </c>
      <c r="E24" s="5">
        <v>0.50838718712502484</v>
      </c>
      <c r="F24" s="32">
        <v>1</v>
      </c>
      <c r="G24" s="5">
        <v>1</v>
      </c>
      <c r="H24" s="5">
        <v>2.633038189703711</v>
      </c>
      <c r="I24" s="5">
        <v>114.35824425893632</v>
      </c>
      <c r="J24" s="32">
        <v>1</v>
      </c>
      <c r="K24" s="5">
        <v>1.153085672110556</v>
      </c>
      <c r="N24" s="5">
        <v>22.733048314989407</v>
      </c>
      <c r="O24" s="5">
        <v>70.585768965062073</v>
      </c>
    </row>
    <row r="25" spans="1:15" x14ac:dyDescent="0.25">
      <c r="A25">
        <v>1980</v>
      </c>
      <c r="B25" s="32">
        <v>1</v>
      </c>
      <c r="C25" s="5">
        <v>1.1985734103178647</v>
      </c>
      <c r="D25" s="5">
        <v>626.995</v>
      </c>
      <c r="E25" s="5">
        <v>0.54709266946199275</v>
      </c>
      <c r="F25" s="32">
        <v>1</v>
      </c>
      <c r="G25" s="5">
        <v>1</v>
      </c>
      <c r="H25" s="5">
        <v>2.7283577656384388</v>
      </c>
      <c r="I25" s="5">
        <v>124.39858242590464</v>
      </c>
      <c r="J25" s="32">
        <v>1</v>
      </c>
      <c r="K25" s="5">
        <v>1.1665924866740573</v>
      </c>
      <c r="N25" s="5">
        <v>22.42330023554732</v>
      </c>
      <c r="O25" s="5">
        <v>88.229667636808429</v>
      </c>
    </row>
    <row r="26" spans="1:15" x14ac:dyDescent="0.25">
      <c r="A26">
        <v>1981</v>
      </c>
      <c r="B26" s="32">
        <v>1</v>
      </c>
      <c r="C26" s="5">
        <v>1.2060630977831603</v>
      </c>
      <c r="D26" s="5">
        <v>631.75666666666666</v>
      </c>
      <c r="E26" s="5">
        <v>0.71716474324733548</v>
      </c>
      <c r="F26" s="32">
        <v>1</v>
      </c>
      <c r="G26" s="5">
        <v>1</v>
      </c>
      <c r="H26" s="5">
        <v>3.2830048516087089</v>
      </c>
      <c r="I26" s="5">
        <v>127.40735038368287</v>
      </c>
      <c r="J26" s="32">
        <v>1</v>
      </c>
      <c r="K26" s="5">
        <v>1.1642265988173357</v>
      </c>
      <c r="N26" s="5">
        <v>24.072774406479297</v>
      </c>
      <c r="O26" s="5">
        <v>107.21641531858194</v>
      </c>
    </row>
    <row r="27" spans="1:15" x14ac:dyDescent="0.25">
      <c r="A27">
        <v>1982</v>
      </c>
      <c r="B27" s="32">
        <v>1</v>
      </c>
      <c r="C27" s="5">
        <v>1.189031202253976</v>
      </c>
      <c r="D27" s="5">
        <v>661.42250000000001</v>
      </c>
      <c r="E27" s="5">
        <v>0.8162854110235892</v>
      </c>
      <c r="F27" s="32">
        <v>1</v>
      </c>
      <c r="G27" s="5">
        <v>1</v>
      </c>
      <c r="H27" s="5">
        <v>3.7850008203310348</v>
      </c>
      <c r="I27" s="5">
        <v>148.65176378250001</v>
      </c>
      <c r="J27" s="32">
        <v>1</v>
      </c>
      <c r="K27" s="5">
        <v>1.2582426783259537</v>
      </c>
      <c r="N27" s="5">
        <v>25.875013290962556</v>
      </c>
      <c r="O27" s="5">
        <v>125.31734888661487</v>
      </c>
    </row>
    <row r="28" spans="1:15" x14ac:dyDescent="0.25">
      <c r="A28">
        <v>1983</v>
      </c>
      <c r="B28" s="32">
        <v>1</v>
      </c>
      <c r="C28" s="5">
        <v>1.1584020870437148</v>
      </c>
      <c r="D28" s="5">
        <v>909.26583333333338</v>
      </c>
      <c r="E28" s="5">
        <v>0.90367882863295612</v>
      </c>
      <c r="F28" s="32">
        <v>1</v>
      </c>
      <c r="G28" s="5">
        <v>1</v>
      </c>
      <c r="H28" s="5">
        <v>4.0071259474320513</v>
      </c>
      <c r="I28" s="5">
        <v>143.56364000689166</v>
      </c>
      <c r="J28" s="32">
        <v>1</v>
      </c>
      <c r="K28" s="5">
        <v>1.3307836724994058</v>
      </c>
      <c r="N28" s="5">
        <v>25.518255300968274</v>
      </c>
      <c r="O28" s="5">
        <v>142.45744703935097</v>
      </c>
    </row>
    <row r="29" spans="1:15" x14ac:dyDescent="0.25">
      <c r="A29">
        <v>1984</v>
      </c>
      <c r="B29" s="32">
        <v>1</v>
      </c>
      <c r="C29" s="5">
        <v>1.2163251466782536</v>
      </c>
      <c r="D29" s="5">
        <v>1025.9449999999999</v>
      </c>
      <c r="E29" s="5">
        <v>1.0406116632094597</v>
      </c>
      <c r="F29" s="32">
        <v>1</v>
      </c>
      <c r="G29" s="5">
        <v>1</v>
      </c>
      <c r="H29" s="5">
        <v>4.8049396845708801</v>
      </c>
      <c r="I29" s="5">
        <v>146.40908051635481</v>
      </c>
      <c r="J29" s="32">
        <v>1</v>
      </c>
      <c r="K29" s="5">
        <v>1.3673872928576094</v>
      </c>
      <c r="N29" s="5">
        <v>27.601423855335952</v>
      </c>
      <c r="O29" s="5">
        <v>163.58208399854107</v>
      </c>
    </row>
    <row r="30" spans="1:15" x14ac:dyDescent="0.25">
      <c r="A30">
        <v>1985</v>
      </c>
      <c r="B30" s="32">
        <v>1</v>
      </c>
      <c r="C30" s="5">
        <v>1.2775886065092532</v>
      </c>
      <c r="D30" s="5">
        <v>1110.58</v>
      </c>
      <c r="E30" s="5">
        <v>1.0974191211163957</v>
      </c>
      <c r="F30" s="32">
        <v>1</v>
      </c>
      <c r="G30" s="5">
        <v>1</v>
      </c>
      <c r="H30" s="5">
        <v>5.9401587153074979</v>
      </c>
      <c r="I30" s="5">
        <v>149.11026944440565</v>
      </c>
      <c r="J30" s="32">
        <v>1</v>
      </c>
      <c r="K30" s="5">
        <v>1.6675422508715572</v>
      </c>
      <c r="N30" s="5">
        <v>29.508750632342867</v>
      </c>
      <c r="O30" s="5">
        <v>186.56946781831257</v>
      </c>
    </row>
    <row r="31" spans="1:15" x14ac:dyDescent="0.25">
      <c r="A31">
        <v>1986</v>
      </c>
      <c r="B31" s="32">
        <v>1</v>
      </c>
      <c r="C31" s="5">
        <v>1.2720666945067072</v>
      </c>
      <c r="D31" s="5">
        <v>1282.5600000000002</v>
      </c>
      <c r="E31" s="5">
        <v>0.85427742545793073</v>
      </c>
      <c r="F31" s="32">
        <v>1</v>
      </c>
      <c r="G31" s="5">
        <v>1</v>
      </c>
      <c r="H31" s="5">
        <v>6.5703999792018779</v>
      </c>
      <c r="I31" s="5">
        <v>106.73269838985014</v>
      </c>
      <c r="J31" s="32">
        <v>1</v>
      </c>
      <c r="K31" s="5">
        <v>1.6276645771835174</v>
      </c>
      <c r="N31" s="5">
        <v>28.187308233530089</v>
      </c>
      <c r="O31" s="5">
        <v>209.40157341307611</v>
      </c>
    </row>
    <row r="32" spans="1:15" x14ac:dyDescent="0.25">
      <c r="A32">
        <v>1987</v>
      </c>
      <c r="B32" s="32">
        <v>1</v>
      </c>
      <c r="C32" s="5">
        <v>1.2055058973327555</v>
      </c>
      <c r="D32" s="5">
        <v>1643.8483333333334</v>
      </c>
      <c r="E32" s="5">
        <v>0.75030282878286048</v>
      </c>
      <c r="F32" s="32">
        <v>1</v>
      </c>
      <c r="G32" s="5">
        <v>1</v>
      </c>
      <c r="H32" s="5">
        <v>6.8604876413235587</v>
      </c>
      <c r="I32" s="5">
        <v>94.83645347818306</v>
      </c>
      <c r="J32" s="32">
        <v>1</v>
      </c>
      <c r="K32" s="5">
        <v>1.4859536865708707</v>
      </c>
      <c r="N32" s="5">
        <v>27.61447731985859</v>
      </c>
      <c r="O32" s="5">
        <v>239.11295627126921</v>
      </c>
    </row>
    <row r="33" spans="1:15" x14ac:dyDescent="0.25">
      <c r="A33">
        <v>1988</v>
      </c>
      <c r="B33" s="32">
        <v>1</v>
      </c>
      <c r="C33" s="5">
        <v>1.1193439684409046</v>
      </c>
      <c r="D33" s="5">
        <v>1685.7041666666664</v>
      </c>
      <c r="E33" s="5">
        <v>0.75848444196849607</v>
      </c>
      <c r="F33" s="32">
        <v>1</v>
      </c>
      <c r="G33" s="5">
        <v>1</v>
      </c>
      <c r="H33" s="5">
        <v>6.4161116836212564</v>
      </c>
      <c r="I33" s="5">
        <v>86.907724184753874</v>
      </c>
      <c r="J33" s="32">
        <v>1</v>
      </c>
      <c r="K33" s="5">
        <v>1.2925198995381433</v>
      </c>
      <c r="N33" s="5">
        <v>28.174875933031231</v>
      </c>
      <c r="O33" s="5">
        <v>274.080378162145</v>
      </c>
    </row>
    <row r="34" spans="1:15" x14ac:dyDescent="0.25">
      <c r="A34">
        <v>1989</v>
      </c>
      <c r="B34" s="32">
        <v>1</v>
      </c>
      <c r="C34" s="5">
        <v>1.0752154734365933</v>
      </c>
      <c r="D34" s="5">
        <v>1770.0591666666667</v>
      </c>
      <c r="E34" s="5">
        <v>0.82195710412740119</v>
      </c>
      <c r="F34" s="32">
        <v>1</v>
      </c>
      <c r="G34" s="5">
        <v>1</v>
      </c>
      <c r="H34" s="5">
        <v>5.5343778272608617</v>
      </c>
      <c r="I34" s="5">
        <v>95.897872453553973</v>
      </c>
      <c r="J34" s="32">
        <v>1</v>
      </c>
      <c r="K34" s="5">
        <v>1.2439830153414979</v>
      </c>
      <c r="N34" s="5">
        <v>32.295351762223923</v>
      </c>
      <c r="O34" s="5">
        <v>316.43128651293028</v>
      </c>
    </row>
    <row r="35" spans="1:15" x14ac:dyDescent="0.25">
      <c r="A35">
        <v>1990</v>
      </c>
      <c r="B35" s="32">
        <v>1</v>
      </c>
      <c r="C35" s="5">
        <v>1.0658363279444611</v>
      </c>
      <c r="D35" s="5">
        <v>1842.8133333333333</v>
      </c>
      <c r="E35" s="5">
        <v>0.72666026954948026</v>
      </c>
      <c r="F35" s="32">
        <v>1</v>
      </c>
      <c r="G35" s="5">
        <v>1</v>
      </c>
      <c r="H35" s="5">
        <v>6.8726512764174394</v>
      </c>
      <c r="I35" s="5">
        <v>102.87899349435322</v>
      </c>
      <c r="J35" s="32">
        <v>1</v>
      </c>
      <c r="K35" s="5">
        <v>1.2384855560263364</v>
      </c>
      <c r="N35" s="5">
        <v>33.723927258337135</v>
      </c>
      <c r="O35" s="5">
        <v>367.3740437143465</v>
      </c>
    </row>
    <row r="36" spans="1:15" x14ac:dyDescent="0.25">
      <c r="A36">
        <v>1991</v>
      </c>
      <c r="B36" s="32">
        <v>1</v>
      </c>
      <c r="C36" s="5">
        <v>1.0329747070838515</v>
      </c>
      <c r="D36" s="5">
        <v>1950.3174999999999</v>
      </c>
      <c r="E36" s="5">
        <v>0.76847821864067978</v>
      </c>
      <c r="F36" s="32">
        <v>1</v>
      </c>
      <c r="G36" s="5">
        <v>1</v>
      </c>
      <c r="H36" s="5">
        <v>7.7423450069874251</v>
      </c>
      <c r="I36" s="5">
        <v>96.646532592571702</v>
      </c>
      <c r="J36" s="32">
        <v>1</v>
      </c>
      <c r="K36" s="5">
        <v>1.2527137889850339</v>
      </c>
      <c r="N36" s="5">
        <v>39.956229499511117</v>
      </c>
      <c r="O36" s="5">
        <v>421.65928202425647</v>
      </c>
    </row>
    <row r="37" spans="1:15" x14ac:dyDescent="0.25">
      <c r="A37">
        <v>1992</v>
      </c>
      <c r="B37" s="32">
        <v>1</v>
      </c>
      <c r="C37" s="5">
        <v>1.1062640443555167</v>
      </c>
      <c r="D37" s="5">
        <v>2029.9208333333333</v>
      </c>
      <c r="E37" s="5">
        <v>0.71949030757108756</v>
      </c>
      <c r="F37" s="32">
        <v>1</v>
      </c>
      <c r="G37" s="5">
        <v>1</v>
      </c>
      <c r="H37" s="5">
        <v>7.8636674589085613</v>
      </c>
      <c r="I37" s="5">
        <v>92.029949249952367</v>
      </c>
      <c r="J37" s="32">
        <v>1</v>
      </c>
      <c r="K37" s="5">
        <v>1.35564513045769</v>
      </c>
      <c r="N37" s="5">
        <v>42.121083273412914</v>
      </c>
      <c r="O37" s="5">
        <v>165.83301626335461</v>
      </c>
    </row>
    <row r="38" spans="1:15" x14ac:dyDescent="0.25">
      <c r="A38">
        <v>1993</v>
      </c>
      <c r="B38" s="32">
        <v>1</v>
      </c>
      <c r="C38" s="5">
        <v>1.1935374598457302</v>
      </c>
      <c r="D38" s="5">
        <v>2087.1033333333335</v>
      </c>
      <c r="E38" s="5">
        <v>0.78821377767170375</v>
      </c>
      <c r="F38" s="32">
        <v>1</v>
      </c>
      <c r="G38" s="5">
        <v>1</v>
      </c>
      <c r="H38" s="5">
        <v>7.6697444135459918</v>
      </c>
      <c r="I38" s="5">
        <v>82.149438073580882</v>
      </c>
      <c r="J38" s="32">
        <v>1</v>
      </c>
      <c r="K38" s="5">
        <v>1.480475898362233</v>
      </c>
      <c r="N38" s="5">
        <v>47.944800428183214</v>
      </c>
      <c r="O38" s="5">
        <v>112.36790839437624</v>
      </c>
    </row>
    <row r="39" spans="1:15" x14ac:dyDescent="0.25">
      <c r="A39">
        <v>1994</v>
      </c>
      <c r="B39" s="32">
        <v>1</v>
      </c>
      <c r="C39" s="5">
        <v>1.2940495104377898</v>
      </c>
      <c r="D39" s="5">
        <v>2160.7533333333336</v>
      </c>
      <c r="E39" s="5">
        <v>0.78123531343574371</v>
      </c>
      <c r="F39" s="32">
        <v>1</v>
      </c>
      <c r="G39" s="5">
        <v>1</v>
      </c>
      <c r="H39" s="5">
        <v>9.8410071342557686</v>
      </c>
      <c r="I39" s="5">
        <v>76.929984467049664</v>
      </c>
      <c r="J39" s="32">
        <v>1</v>
      </c>
      <c r="K39" s="5">
        <v>1.3858052639475982</v>
      </c>
      <c r="N39" s="5">
        <v>45.971613026798799</v>
      </c>
      <c r="O39" s="5">
        <v>50.063933916598309</v>
      </c>
    </row>
    <row r="40" spans="1:15" x14ac:dyDescent="0.25">
      <c r="A40">
        <v>1995</v>
      </c>
      <c r="B40" s="32">
        <v>1</v>
      </c>
      <c r="C40" s="5">
        <v>1.308456712063389</v>
      </c>
      <c r="D40" s="5">
        <v>2248.6083333333336</v>
      </c>
      <c r="E40" s="5">
        <v>0.71946959287748158</v>
      </c>
      <c r="F40" s="32">
        <v>1</v>
      </c>
      <c r="G40" s="5">
        <v>1</v>
      </c>
      <c r="H40" s="5">
        <v>8.0163271403399055</v>
      </c>
      <c r="I40" s="5">
        <v>72.902243680927299</v>
      </c>
      <c r="J40" s="32">
        <v>1</v>
      </c>
      <c r="K40" s="5">
        <v>1.3446733043486374</v>
      </c>
      <c r="N40" s="5">
        <v>44.281210183048074</v>
      </c>
      <c r="O40" s="5">
        <v>36.401598426039307</v>
      </c>
    </row>
    <row r="41" spans="1:15" x14ac:dyDescent="0.25">
      <c r="A41">
        <v>1996</v>
      </c>
      <c r="B41" s="32">
        <v>1</v>
      </c>
      <c r="C41" s="5">
        <v>1.3173044017205064</v>
      </c>
      <c r="D41" s="5">
        <v>2342.2958333333336</v>
      </c>
      <c r="E41" s="5">
        <v>0.74725971193435692</v>
      </c>
      <c r="F41" s="32">
        <v>1</v>
      </c>
      <c r="G41" s="5">
        <v>1</v>
      </c>
      <c r="H41" s="5">
        <v>7.3767775147642256</v>
      </c>
      <c r="I41" s="5">
        <v>86.663723458405727</v>
      </c>
      <c r="J41" s="32">
        <v>1</v>
      </c>
      <c r="K41" s="5">
        <v>1.2766805640230467</v>
      </c>
      <c r="N41" s="5">
        <v>45.737214340273859</v>
      </c>
      <c r="O41" s="5">
        <v>27.237045021381675</v>
      </c>
    </row>
    <row r="42" spans="1:15" x14ac:dyDescent="0.25">
      <c r="A42">
        <v>1997</v>
      </c>
      <c r="B42" s="32">
        <v>1</v>
      </c>
      <c r="C42" s="5">
        <v>1.347259992786821</v>
      </c>
      <c r="D42" s="5">
        <v>2909.3799999999997</v>
      </c>
      <c r="E42" s="5">
        <v>0.85590780882728967</v>
      </c>
      <c r="F42" s="32">
        <v>1</v>
      </c>
      <c r="G42" s="5">
        <v>1</v>
      </c>
      <c r="H42" s="5">
        <v>7.1347008577904942</v>
      </c>
      <c r="I42" s="5">
        <v>96.931435265151592</v>
      </c>
      <c r="J42" s="32">
        <v>1</v>
      </c>
      <c r="K42" s="5">
        <v>1.3749373153691531</v>
      </c>
      <c r="N42" s="5">
        <v>44.716142103365677</v>
      </c>
      <c r="O42" s="5">
        <v>27.448667604967024</v>
      </c>
    </row>
    <row r="43" spans="1:15" x14ac:dyDescent="0.25">
      <c r="A43">
        <v>1998</v>
      </c>
      <c r="B43" s="32">
        <v>1</v>
      </c>
      <c r="C43" s="5">
        <v>1.4514614545279458</v>
      </c>
      <c r="D43" s="5">
        <v>10013.622499999999</v>
      </c>
      <c r="E43" s="5">
        <v>0.87385640962070255</v>
      </c>
      <c r="F43" s="32">
        <v>1</v>
      </c>
      <c r="G43" s="5">
        <v>1</v>
      </c>
      <c r="H43" s="5">
        <v>7.2005620497405047</v>
      </c>
      <c r="I43" s="5">
        <v>105.79745013365317</v>
      </c>
      <c r="J43" s="32">
        <v>1</v>
      </c>
      <c r="K43" s="5">
        <v>1.6347167280160013</v>
      </c>
      <c r="N43" s="5">
        <v>45.610813040203453</v>
      </c>
      <c r="O43" s="5">
        <v>34.158468933213932</v>
      </c>
    </row>
    <row r="44" spans="1:15" x14ac:dyDescent="0.25">
      <c r="A44">
        <v>1999</v>
      </c>
      <c r="B44" s="32">
        <v>1</v>
      </c>
      <c r="C44" s="5">
        <v>1.4600540718116182</v>
      </c>
      <c r="D44" s="5">
        <v>7855.1500000000005</v>
      </c>
      <c r="E44" s="5">
        <v>0.92195239227793968</v>
      </c>
      <c r="F44" s="32">
        <v>1</v>
      </c>
      <c r="G44" s="5">
        <v>1</v>
      </c>
      <c r="H44" s="5">
        <v>7.457912028526728</v>
      </c>
      <c r="I44" s="5">
        <v>94.341139905022374</v>
      </c>
      <c r="J44" s="32">
        <v>1</v>
      </c>
      <c r="K44" s="5">
        <v>1.60313738823779</v>
      </c>
      <c r="N44" s="5">
        <v>46.431610986352503</v>
      </c>
      <c r="O44" s="5">
        <v>50.72060173108747</v>
      </c>
    </row>
    <row r="45" spans="1:15" x14ac:dyDescent="0.25">
      <c r="A45">
        <v>2000</v>
      </c>
      <c r="B45" s="32">
        <v>1</v>
      </c>
      <c r="C45" s="5">
        <v>1.4687917866002034</v>
      </c>
      <c r="D45" s="5">
        <v>8421.7750000000015</v>
      </c>
      <c r="E45" s="5">
        <v>1.0792649592279178</v>
      </c>
      <c r="F45" s="32">
        <v>1</v>
      </c>
      <c r="G45" s="5">
        <v>1</v>
      </c>
      <c r="H45" s="5">
        <v>7.7478837549558603</v>
      </c>
      <c r="I45" s="5">
        <v>92.973395266429051</v>
      </c>
      <c r="J45" s="32">
        <v>1</v>
      </c>
      <c r="K45" s="5">
        <v>1.7644413265531069</v>
      </c>
      <c r="N45" s="5">
        <v>48.162506676717534</v>
      </c>
      <c r="O45" s="5">
        <v>49.668359608591437</v>
      </c>
    </row>
    <row r="46" spans="1:15" x14ac:dyDescent="0.25">
      <c r="A46">
        <v>2001</v>
      </c>
      <c r="B46" s="32">
        <v>1</v>
      </c>
      <c r="C46" s="5">
        <v>1.5363487286084121</v>
      </c>
      <c r="D46" s="5">
        <v>10260.85</v>
      </c>
      <c r="E46" s="5">
        <v>1.1150540451419708</v>
      </c>
      <c r="F46" s="32">
        <v>1</v>
      </c>
      <c r="G46" s="5">
        <v>1</v>
      </c>
      <c r="H46" s="5">
        <v>7.9277460215817861</v>
      </c>
      <c r="I46" s="5">
        <v>108.63577530397873</v>
      </c>
      <c r="J46" s="32">
        <v>1</v>
      </c>
      <c r="K46" s="5">
        <v>1.9497170592097801</v>
      </c>
      <c r="N46" s="5">
        <v>50.161863405536529</v>
      </c>
      <c r="O46" s="5">
        <v>43.523986047442712</v>
      </c>
    </row>
    <row r="47" spans="1:15" x14ac:dyDescent="0.25">
      <c r="A47">
        <v>2002</v>
      </c>
      <c r="B47" s="32">
        <v>1</v>
      </c>
      <c r="C47" s="33">
        <v>1.5465350520326024</v>
      </c>
      <c r="D47" s="33">
        <v>9311.1916666666675</v>
      </c>
      <c r="E47" s="33">
        <v>1.0530278889286167</v>
      </c>
      <c r="F47" s="32">
        <v>1</v>
      </c>
      <c r="G47" s="5">
        <v>1</v>
      </c>
      <c r="H47" s="33">
        <v>8.0756818745403525</v>
      </c>
      <c r="I47" s="33">
        <v>114.8536874110071</v>
      </c>
      <c r="J47" s="32">
        <v>1</v>
      </c>
      <c r="K47" s="33">
        <v>1.8303008000705681</v>
      </c>
      <c r="N47" s="33">
        <v>50.287086618037819</v>
      </c>
      <c r="O47" s="33">
        <v>41.020171836184339</v>
      </c>
    </row>
    <row r="48" spans="1:15" x14ac:dyDescent="0.25">
      <c r="A48">
        <v>2003</v>
      </c>
      <c r="B48" s="32">
        <v>1</v>
      </c>
      <c r="C48" s="33">
        <v>1.3738668221080779</v>
      </c>
      <c r="D48" s="33">
        <v>8577.133333333335</v>
      </c>
      <c r="E48" s="33">
        <v>0.8797173421939749</v>
      </c>
      <c r="F48" s="32">
        <v>1</v>
      </c>
      <c r="G48" s="5">
        <v>1</v>
      </c>
      <c r="H48" s="33">
        <v>8.2529457317655091</v>
      </c>
      <c r="I48" s="33">
        <v>108.8877731429745</v>
      </c>
      <c r="J48" s="32">
        <v>1</v>
      </c>
      <c r="K48" s="33">
        <v>1.5261087900557158</v>
      </c>
      <c r="N48" s="33">
        <v>47.48274372526248</v>
      </c>
      <c r="O48" s="33">
        <v>36.156545119994966</v>
      </c>
    </row>
    <row r="49" spans="1:15" x14ac:dyDescent="0.25">
      <c r="A49">
        <v>2004</v>
      </c>
      <c r="B49" s="32">
        <v>1</v>
      </c>
      <c r="C49" s="33">
        <v>1.2861164501343965</v>
      </c>
      <c r="D49" s="33">
        <v>8938.85</v>
      </c>
      <c r="E49" s="33">
        <v>0.80334072606443074</v>
      </c>
      <c r="F49" s="32">
        <v>1</v>
      </c>
      <c r="G49" s="5">
        <v>1</v>
      </c>
      <c r="H49" s="33">
        <v>8.2429559727543715</v>
      </c>
      <c r="I49" s="33">
        <v>104.35605394246467</v>
      </c>
      <c r="J49" s="32">
        <v>1</v>
      </c>
      <c r="K49" s="33">
        <v>1.3503061557394813</v>
      </c>
      <c r="N49" s="33">
        <v>45.693841919998704</v>
      </c>
      <c r="O49" s="33">
        <v>31.419053333880353</v>
      </c>
    </row>
    <row r="50" spans="1:15" x14ac:dyDescent="0.25">
      <c r="A50">
        <v>2005</v>
      </c>
      <c r="B50" s="32">
        <v>1</v>
      </c>
      <c r="C50" s="33">
        <v>1.2116146022544989</v>
      </c>
      <c r="D50" s="33">
        <v>9704.7416666666668</v>
      </c>
      <c r="E50" s="33">
        <v>0.80466386150561753</v>
      </c>
      <c r="F50" s="32">
        <v>1</v>
      </c>
      <c r="G50" s="5">
        <v>1</v>
      </c>
      <c r="H50" s="33">
        <v>8.1936784513204426</v>
      </c>
      <c r="I50" s="33">
        <v>110.27097900689211</v>
      </c>
      <c r="J50" s="32">
        <v>1</v>
      </c>
      <c r="K50" s="33">
        <v>1.3094546350492831</v>
      </c>
      <c r="N50" s="33">
        <v>44.099713289119109</v>
      </c>
      <c r="O50" s="33">
        <v>28.287496677679517</v>
      </c>
    </row>
    <row r="51" spans="1:15" x14ac:dyDescent="0.25">
      <c r="A51">
        <v>2006</v>
      </c>
      <c r="B51" s="32">
        <v>1</v>
      </c>
      <c r="C51" s="33">
        <v>1.1479090098054148</v>
      </c>
      <c r="D51" s="33">
        <v>9159.3166666666675</v>
      </c>
      <c r="E51" s="33">
        <v>0.81251694356788295</v>
      </c>
      <c r="F51" s="32">
        <v>1</v>
      </c>
      <c r="G51" s="5">
        <v>1</v>
      </c>
      <c r="H51" s="33">
        <v>8.1174229388035659</v>
      </c>
      <c r="I51" s="33">
        <v>119.75766365463657</v>
      </c>
      <c r="J51" s="32">
        <v>1</v>
      </c>
      <c r="K51" s="33">
        <v>1.3243022530140227</v>
      </c>
      <c r="N51" s="33">
        <v>44.226203420134851</v>
      </c>
      <c r="O51" s="33">
        <v>25.598644222862831</v>
      </c>
    </row>
    <row r="52" spans="1:15" x14ac:dyDescent="0.25">
      <c r="A52">
        <v>2007</v>
      </c>
      <c r="B52" s="32">
        <v>1</v>
      </c>
      <c r="C52" s="33">
        <v>1.0941733545403214</v>
      </c>
      <c r="D52" s="33">
        <v>9141.0000000000018</v>
      </c>
      <c r="E52" s="33">
        <v>0.75024887899465431</v>
      </c>
      <c r="F52" s="32">
        <v>1</v>
      </c>
      <c r="G52" s="5">
        <v>1</v>
      </c>
      <c r="H52" s="33">
        <v>7.7449586812577857</v>
      </c>
      <c r="I52" s="33">
        <v>124.63256775732874</v>
      </c>
      <c r="J52" s="32">
        <v>1</v>
      </c>
      <c r="K52" s="33">
        <v>1.1966294450155035</v>
      </c>
      <c r="N52" s="33">
        <v>39.031697072462542</v>
      </c>
      <c r="O52" s="33">
        <v>22.736405803428742</v>
      </c>
    </row>
    <row r="53" spans="1:15" x14ac:dyDescent="0.25">
      <c r="A53" s="34">
        <v>2008</v>
      </c>
      <c r="B53" s="32">
        <v>1</v>
      </c>
      <c r="C53" s="33">
        <v>1.1024717411300791</v>
      </c>
      <c r="D53" s="33">
        <v>9698.9624999999996</v>
      </c>
      <c r="E53" s="33">
        <v>0.70421378750941199</v>
      </c>
      <c r="F53" s="32">
        <v>1</v>
      </c>
      <c r="G53" s="5">
        <v>1</v>
      </c>
      <c r="H53" s="33">
        <v>6.9014525673234202</v>
      </c>
      <c r="I53" s="33">
        <v>112.0993255383073</v>
      </c>
      <c r="J53" s="32">
        <v>1</v>
      </c>
      <c r="K53" s="33">
        <v>1.1868943388148934</v>
      </c>
      <c r="N53" s="33">
        <v>39.276393646239192</v>
      </c>
      <c r="O53" s="33">
        <v>20.065461258009009</v>
      </c>
    </row>
    <row r="54" spans="1:15" x14ac:dyDescent="0.25">
      <c r="A54" s="34">
        <v>2009</v>
      </c>
      <c r="B54" s="32">
        <v>1</v>
      </c>
      <c r="C54" s="33">
        <v>1.1736278193924441</v>
      </c>
      <c r="D54" s="33">
        <v>10389.937500000002</v>
      </c>
      <c r="E54" s="33">
        <v>0.73290588196451834</v>
      </c>
      <c r="F54" s="32">
        <v>1</v>
      </c>
      <c r="G54" s="5">
        <v>1</v>
      </c>
      <c r="H54" s="33">
        <v>6.6591626984764334</v>
      </c>
      <c r="I54" s="33">
        <v>102.45989522640271</v>
      </c>
      <c r="J54" s="32">
        <v>1</v>
      </c>
      <c r="K54" s="33">
        <v>1.2503025917715376</v>
      </c>
      <c r="N54" s="33">
        <v>39.451042340045717</v>
      </c>
      <c r="O54" s="33">
        <v>22.900287608934178</v>
      </c>
    </row>
    <row r="55" spans="1:15" x14ac:dyDescent="0.25">
      <c r="A55" s="34">
        <v>2010</v>
      </c>
      <c r="B55" s="32">
        <v>1</v>
      </c>
      <c r="C55" s="33">
        <v>1.0565342378998863</v>
      </c>
      <c r="D55" s="33">
        <v>9090.4333333333343</v>
      </c>
      <c r="E55" s="33">
        <v>0.76690268655472627</v>
      </c>
      <c r="F55" s="32">
        <v>1</v>
      </c>
      <c r="G55" s="5">
        <v>1</v>
      </c>
      <c r="H55" s="33">
        <v>6.6198318251390704</v>
      </c>
      <c r="I55" s="33">
        <v>98.588530298414526</v>
      </c>
      <c r="J55" s="32">
        <v>1</v>
      </c>
      <c r="K55" s="33">
        <v>1.0529947394042003</v>
      </c>
      <c r="N55" s="33">
        <v>33.683039095110097</v>
      </c>
      <c r="O55" s="33">
        <v>20.832582014201094</v>
      </c>
    </row>
    <row r="56" spans="1:15" x14ac:dyDescent="0.25">
      <c r="A56" s="34">
        <v>2011</v>
      </c>
      <c r="B56" s="32">
        <v>1</v>
      </c>
      <c r="C56" s="33">
        <v>1.0171940390948804</v>
      </c>
      <c r="D56" s="33">
        <v>8770.4333333333343</v>
      </c>
      <c r="E56" s="33">
        <v>0.73389044536536063</v>
      </c>
      <c r="F56" s="32">
        <v>1</v>
      </c>
      <c r="G56" s="5">
        <v>1</v>
      </c>
      <c r="H56" s="33">
        <v>6.2225708841883218</v>
      </c>
      <c r="I56" s="33">
        <v>92.545043905407468</v>
      </c>
      <c r="J56" s="32">
        <v>1</v>
      </c>
      <c r="K56" s="33">
        <v>0.93312387788320938</v>
      </c>
      <c r="N56" s="33">
        <v>32.492233571587754</v>
      </c>
      <c r="O56" s="33">
        <v>19.172179321720794</v>
      </c>
    </row>
    <row r="57" spans="1:15" x14ac:dyDescent="0.25">
      <c r="A57" s="34">
        <v>2012</v>
      </c>
      <c r="B57" s="32">
        <v>1</v>
      </c>
      <c r="C57" s="33">
        <v>1.0327315220587152</v>
      </c>
      <c r="D57" s="33">
        <v>9386.6291666666675</v>
      </c>
      <c r="E57" s="33">
        <v>0.79076460511868518</v>
      </c>
      <c r="F57" s="32">
        <v>1</v>
      </c>
      <c r="G57" s="5">
        <v>1</v>
      </c>
      <c r="H57" s="33">
        <v>5.9607767459744716</v>
      </c>
      <c r="I57" s="33">
        <v>94.451878405225202</v>
      </c>
      <c r="J57" s="32">
        <v>1</v>
      </c>
      <c r="K57" s="33">
        <v>0.93446792436062776</v>
      </c>
      <c r="N57" s="33">
        <v>34.758449816789764</v>
      </c>
      <c r="O57" s="33">
        <v>19.548047970913501</v>
      </c>
    </row>
    <row r="58" spans="1:15" x14ac:dyDescent="0.25">
      <c r="A58" s="34">
        <v>2013</v>
      </c>
      <c r="B58" s="32">
        <v>1</v>
      </c>
      <c r="C58" s="33">
        <v>1.0701492346078716</v>
      </c>
      <c r="D58" s="33">
        <v>10461.042500000001</v>
      </c>
      <c r="E58" s="33">
        <v>0.76675327667340787</v>
      </c>
      <c r="F58" s="32">
        <v>1</v>
      </c>
      <c r="G58" s="5">
        <v>1</v>
      </c>
      <c r="H58" s="33">
        <v>5.7982498974414733</v>
      </c>
      <c r="I58" s="33">
        <v>116.87886999062736</v>
      </c>
      <c r="J58" s="32">
        <v>1</v>
      </c>
      <c r="K58" s="33">
        <v>0.98905365711853266</v>
      </c>
      <c r="N58" s="33">
        <v>34.754789284710888</v>
      </c>
      <c r="O58" s="33">
        <v>19.18994261984739</v>
      </c>
    </row>
    <row r="59" spans="1:15" x14ac:dyDescent="0.25">
      <c r="A59" s="35">
        <v>2014</v>
      </c>
      <c r="B59" s="32">
        <v>1</v>
      </c>
      <c r="C59" s="36">
        <v>1.2087659451349415</v>
      </c>
      <c r="D59" s="37">
        <v>14077.564647768937</v>
      </c>
      <c r="E59" s="36">
        <v>0.73048276659746836</v>
      </c>
      <c r="F59" s="32">
        <v>1</v>
      </c>
      <c r="G59" s="5">
        <v>1</v>
      </c>
      <c r="H59" s="36">
        <v>5.4089012475866269</v>
      </c>
      <c r="I59" s="36">
        <v>122.31425202985311</v>
      </c>
      <c r="J59" s="32">
        <v>1</v>
      </c>
      <c r="K59" s="36">
        <v>1.0923992727311747</v>
      </c>
      <c r="N59" s="36">
        <v>32.757243106530261</v>
      </c>
      <c r="O59" s="36">
        <v>20.008274758880525</v>
      </c>
    </row>
  </sheetData>
  <customSheetViews>
    <customSheetView guid="{821D1691-1FA5-412F-8FF4-9E35B3587D16}" topLeftCell="A22">
      <selection activeCell="E55" sqref="E55"/>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137"/>
  <sheetViews>
    <sheetView workbookViewId="0">
      <selection activeCell="C131" sqref="C131"/>
    </sheetView>
  </sheetViews>
  <sheetFormatPr defaultRowHeight="15" x14ac:dyDescent="0.25"/>
  <cols>
    <col min="1" max="1" width="55.5703125" customWidth="1"/>
    <col min="2" max="2" width="12.28515625" customWidth="1"/>
  </cols>
  <sheetData>
    <row r="1" spans="1:2" ht="14.45" x14ac:dyDescent="0.5">
      <c r="A1" s="252" t="s">
        <v>60</v>
      </c>
      <c r="B1" s="252"/>
    </row>
    <row r="2" spans="1:2" ht="14.45" x14ac:dyDescent="0.5">
      <c r="A2" s="41" t="s">
        <v>55</v>
      </c>
      <c r="B2" s="47">
        <v>2.4667834903719873E-5</v>
      </c>
    </row>
    <row r="3" spans="1:2" ht="14.45" x14ac:dyDescent="0.5">
      <c r="A3" s="41" t="s">
        <v>56</v>
      </c>
      <c r="B3" s="47">
        <v>1.1702021562603092E-5</v>
      </c>
    </row>
    <row r="4" spans="1:2" ht="14.45" x14ac:dyDescent="0.5">
      <c r="B4" s="46"/>
    </row>
    <row r="5" spans="1:2" ht="14.45" x14ac:dyDescent="0.5">
      <c r="A5" s="252" t="s">
        <v>61</v>
      </c>
      <c r="B5" s="252"/>
    </row>
    <row r="6" spans="1:2" ht="14.45" x14ac:dyDescent="0.5">
      <c r="A6" s="41" t="s">
        <v>62</v>
      </c>
      <c r="B6" s="47">
        <v>2.0885794909410491E-2</v>
      </c>
    </row>
    <row r="7" spans="1:2" ht="14.45" x14ac:dyDescent="0.5">
      <c r="A7" s="41" t="s">
        <v>63</v>
      </c>
      <c r="B7" s="47">
        <v>0.11499724624455643</v>
      </c>
    </row>
    <row r="8" spans="1:2" ht="14.45" x14ac:dyDescent="0.5">
      <c r="A8" s="41" t="s">
        <v>64</v>
      </c>
      <c r="B8" s="47">
        <v>8.2807950930609189E-4</v>
      </c>
    </row>
    <row r="9" spans="1:2" ht="14.45" x14ac:dyDescent="0.5">
      <c r="A9" s="41" t="s">
        <v>65</v>
      </c>
      <c r="B9" s="47">
        <v>3.3855513793137032E-2</v>
      </c>
    </row>
    <row r="10" spans="1:2" ht="14.45" x14ac:dyDescent="0.5">
      <c r="A10" s="41" t="s">
        <v>66</v>
      </c>
      <c r="B10" s="47">
        <v>3.5590223032441418E-3</v>
      </c>
    </row>
    <row r="11" spans="1:2" ht="14.45" x14ac:dyDescent="0.5">
      <c r="A11" s="41" t="s">
        <v>67</v>
      </c>
      <c r="B11" s="47">
        <v>3.929852511801131E-2</v>
      </c>
    </row>
    <row r="12" spans="1:2" ht="14.45" x14ac:dyDescent="0.5">
      <c r="A12" s="41" t="s">
        <v>59</v>
      </c>
      <c r="B12" s="47">
        <v>1.4882518446850657E-3</v>
      </c>
    </row>
    <row r="13" spans="1:2" ht="14.45" x14ac:dyDescent="0.5">
      <c r="A13" s="41" t="s">
        <v>68</v>
      </c>
      <c r="B13" s="47">
        <v>5.2966486579716934E-2</v>
      </c>
    </row>
    <row r="14" spans="1:2" ht="14.45" x14ac:dyDescent="0.5">
      <c r="A14" s="41" t="s">
        <v>69</v>
      </c>
      <c r="B14" s="47">
        <v>0</v>
      </c>
    </row>
    <row r="15" spans="1:2" ht="14.45" x14ac:dyDescent="0.5">
      <c r="A15" s="41" t="s">
        <v>57</v>
      </c>
      <c r="B15" s="47">
        <v>0</v>
      </c>
    </row>
    <row r="16" spans="1:2" ht="14.45" x14ac:dyDescent="0.5">
      <c r="B16" s="46"/>
    </row>
    <row r="17" spans="1:2" ht="14.45" x14ac:dyDescent="0.5">
      <c r="A17" s="252" t="s">
        <v>88</v>
      </c>
      <c r="B17" s="252"/>
    </row>
    <row r="18" spans="1:2" ht="14.45" x14ac:dyDescent="0.5">
      <c r="A18" s="41" t="s">
        <v>70</v>
      </c>
      <c r="B18" s="47">
        <v>2.6461259628454917E-3</v>
      </c>
    </row>
    <row r="19" spans="1:2" x14ac:dyDescent="0.25">
      <c r="A19" s="41" t="s">
        <v>71</v>
      </c>
      <c r="B19" s="47">
        <v>1.8724816307181792E-2</v>
      </c>
    </row>
    <row r="20" spans="1:2" x14ac:dyDescent="0.25">
      <c r="A20" s="41" t="s">
        <v>72</v>
      </c>
      <c r="B20" s="47">
        <v>4.7278840092456399E-2</v>
      </c>
    </row>
    <row r="21" spans="1:2" x14ac:dyDescent="0.25">
      <c r="A21" s="41" t="s">
        <v>73</v>
      </c>
      <c r="B21" s="47">
        <v>2.6759247979859509E-2</v>
      </c>
    </row>
    <row r="22" spans="1:2" x14ac:dyDescent="0.25">
      <c r="A22" s="41" t="s">
        <v>74</v>
      </c>
      <c r="B22" s="47">
        <v>2.196043983623786E-4</v>
      </c>
    </row>
    <row r="23" spans="1:2" x14ac:dyDescent="0.25">
      <c r="A23" s="41" t="s">
        <v>75</v>
      </c>
      <c r="B23" s="47">
        <v>8.9235917456776358E-4</v>
      </c>
    </row>
    <row r="24" spans="1:2" x14ac:dyDescent="0.25">
      <c r="A24" s="41" t="s">
        <v>76</v>
      </c>
      <c r="B24" s="47">
        <v>4.526935264825713E-4</v>
      </c>
    </row>
    <row r="25" spans="1:2" x14ac:dyDescent="0.25">
      <c r="A25" s="41" t="s">
        <v>77</v>
      </c>
      <c r="B25" s="47">
        <v>7.5879086983343627E-2</v>
      </c>
    </row>
    <row r="26" spans="1:2" x14ac:dyDescent="0.25">
      <c r="A26" s="41" t="s">
        <v>78</v>
      </c>
      <c r="B26" s="47">
        <v>8.1975612255354038E-4</v>
      </c>
    </row>
    <row r="27" spans="1:2" x14ac:dyDescent="0.25">
      <c r="A27" s="41" t="s">
        <v>79</v>
      </c>
      <c r="B27" s="47">
        <v>1.4545454545454547E-3</v>
      </c>
    </row>
    <row r="28" spans="1:2" x14ac:dyDescent="0.25">
      <c r="A28" s="41" t="s">
        <v>80</v>
      </c>
      <c r="B28" s="47">
        <v>3.9973351099267156E-3</v>
      </c>
    </row>
    <row r="29" spans="1:2" x14ac:dyDescent="0.25">
      <c r="A29" s="41" t="s">
        <v>81</v>
      </c>
      <c r="B29" s="47">
        <v>6.2797335870599436E-2</v>
      </c>
    </row>
    <row r="30" spans="1:2" x14ac:dyDescent="0.25">
      <c r="A30" s="41" t="s">
        <v>82</v>
      </c>
      <c r="B30" s="47">
        <v>1.3833684046450005E-3</v>
      </c>
    </row>
    <row r="31" spans="1:2" x14ac:dyDescent="0.25">
      <c r="A31" s="41" t="s">
        <v>83</v>
      </c>
      <c r="B31" s="47">
        <v>2.2259883323012743E-2</v>
      </c>
    </row>
    <row r="32" spans="1:2" x14ac:dyDescent="0.25">
      <c r="A32" s="41" t="s">
        <v>84</v>
      </c>
      <c r="B32" s="47">
        <v>2.9438028336706754E-2</v>
      </c>
    </row>
    <row r="33" spans="1:2" x14ac:dyDescent="0.25">
      <c r="A33" s="41" t="s">
        <v>85</v>
      </c>
      <c r="B33" s="47">
        <v>7.2931276297335201E-2</v>
      </c>
    </row>
    <row r="34" spans="1:2" x14ac:dyDescent="0.25">
      <c r="A34" s="41" t="s">
        <v>57</v>
      </c>
      <c r="B34" s="47">
        <v>8.37949386336483E-2</v>
      </c>
    </row>
    <row r="35" spans="1:2" x14ac:dyDescent="0.25">
      <c r="A35" s="41" t="s">
        <v>87</v>
      </c>
      <c r="B35" s="47">
        <v>1.6509823344890208E-4</v>
      </c>
    </row>
    <row r="36" spans="1:2" x14ac:dyDescent="0.25">
      <c r="B36" s="46"/>
    </row>
    <row r="37" spans="1:2" x14ac:dyDescent="0.25">
      <c r="A37" s="252" t="s">
        <v>89</v>
      </c>
      <c r="B37" s="252"/>
    </row>
    <row r="38" spans="1:2" x14ac:dyDescent="0.25">
      <c r="A38" s="41" t="s">
        <v>55</v>
      </c>
      <c r="B38" s="47">
        <v>2.4612246632388559E-2</v>
      </c>
    </row>
    <row r="39" spans="1:2" x14ac:dyDescent="0.25">
      <c r="A39" s="41" t="s">
        <v>66</v>
      </c>
      <c r="B39" s="47">
        <v>1.6912472304903434E-2</v>
      </c>
    </row>
    <row r="40" spans="1:2" x14ac:dyDescent="0.25">
      <c r="A40" s="41" t="s">
        <v>73</v>
      </c>
      <c r="B40" s="47">
        <v>1.9649516517606682E-2</v>
      </c>
    </row>
    <row r="41" spans="1:2" x14ac:dyDescent="0.25">
      <c r="A41" s="41" t="s">
        <v>90</v>
      </c>
      <c r="B41" s="47">
        <v>1.600260204911368E-2</v>
      </c>
    </row>
    <row r="42" spans="1:2" x14ac:dyDescent="0.25">
      <c r="A42" s="41" t="s">
        <v>63</v>
      </c>
      <c r="B42" s="47">
        <v>1.8557536466774716E-2</v>
      </c>
    </row>
    <row r="43" spans="1:2" x14ac:dyDescent="0.25">
      <c r="A43" s="41" t="s">
        <v>91</v>
      </c>
      <c r="B43" s="47">
        <v>1.41846921797005E-2</v>
      </c>
    </row>
    <row r="44" spans="1:2" x14ac:dyDescent="0.25">
      <c r="A44" s="41" t="s">
        <v>92</v>
      </c>
      <c r="B44" s="47">
        <v>5.13795045045045E-3</v>
      </c>
    </row>
    <row r="45" spans="1:2" x14ac:dyDescent="0.25">
      <c r="A45" s="41" t="s">
        <v>93</v>
      </c>
      <c r="B45" s="47">
        <v>2.3146135790663307E-4</v>
      </c>
    </row>
    <row r="46" spans="1:2" x14ac:dyDescent="0.25">
      <c r="A46" s="41" t="s">
        <v>94</v>
      </c>
      <c r="B46" s="47">
        <v>4.2986425339366511E-3</v>
      </c>
    </row>
    <row r="47" spans="1:2" x14ac:dyDescent="0.25">
      <c r="A47" s="41" t="s">
        <v>95</v>
      </c>
      <c r="B47" s="47">
        <v>4.604446450739195E-3</v>
      </c>
    </row>
    <row r="48" spans="1:2" x14ac:dyDescent="0.25">
      <c r="B48" s="46"/>
    </row>
    <row r="49" spans="1:2" x14ac:dyDescent="0.25">
      <c r="A49" s="252" t="s">
        <v>96</v>
      </c>
      <c r="B49" s="252"/>
    </row>
    <row r="50" spans="1:2" x14ac:dyDescent="0.25">
      <c r="A50" s="41" t="s">
        <v>97</v>
      </c>
      <c r="B50" s="47">
        <v>0.13406934548988625</v>
      </c>
    </row>
    <row r="51" spans="1:2" x14ac:dyDescent="0.25">
      <c r="A51" s="41" t="s">
        <v>98</v>
      </c>
      <c r="B51" s="47">
        <v>0</v>
      </c>
    </row>
    <row r="52" spans="1:2" x14ac:dyDescent="0.25">
      <c r="A52" s="41" t="s">
        <v>71</v>
      </c>
      <c r="B52" s="47">
        <v>0</v>
      </c>
    </row>
    <row r="53" spans="1:2" x14ac:dyDescent="0.25">
      <c r="A53" s="41" t="s">
        <v>65</v>
      </c>
      <c r="B53" s="47">
        <v>0</v>
      </c>
    </row>
    <row r="54" spans="1:2" x14ac:dyDescent="0.25">
      <c r="A54" s="41" t="s">
        <v>99</v>
      </c>
      <c r="B54" s="47">
        <v>0</v>
      </c>
    </row>
    <row r="55" spans="1:2" x14ac:dyDescent="0.25">
      <c r="A55" s="41" t="s">
        <v>100</v>
      </c>
      <c r="B55" s="47">
        <v>0</v>
      </c>
    </row>
    <row r="56" spans="1:2" x14ac:dyDescent="0.25">
      <c r="A56" s="41" t="s">
        <v>66</v>
      </c>
      <c r="B56" s="47">
        <v>0</v>
      </c>
    </row>
    <row r="57" spans="1:2" x14ac:dyDescent="0.25">
      <c r="A57" s="41" t="s">
        <v>59</v>
      </c>
      <c r="B57" s="47">
        <v>0.57894067931242643</v>
      </c>
    </row>
    <row r="58" spans="1:2" x14ac:dyDescent="0.25">
      <c r="A58" s="41" t="s">
        <v>57</v>
      </c>
      <c r="B58" s="47">
        <v>1.6098927297253908E-2</v>
      </c>
    </row>
    <row r="59" spans="1:2" x14ac:dyDescent="0.25">
      <c r="A59" s="41" t="s">
        <v>101</v>
      </c>
      <c r="B59" s="47">
        <v>1.1092041109895563</v>
      </c>
    </row>
    <row r="60" spans="1:2" x14ac:dyDescent="0.25">
      <c r="A60" s="41" t="s">
        <v>102</v>
      </c>
      <c r="B60" s="47">
        <v>1.2671704179237417</v>
      </c>
    </row>
    <row r="61" spans="1:2" x14ac:dyDescent="0.25">
      <c r="A61" s="41" t="s">
        <v>83</v>
      </c>
      <c r="B61" s="47">
        <v>0</v>
      </c>
    </row>
    <row r="62" spans="1:2" x14ac:dyDescent="0.25">
      <c r="A62" s="41" t="s">
        <v>103</v>
      </c>
      <c r="B62" s="47">
        <v>6.4517153412158223E-3</v>
      </c>
    </row>
    <row r="63" spans="1:2" x14ac:dyDescent="0.25">
      <c r="A63" s="41" t="s">
        <v>104</v>
      </c>
      <c r="B63" s="47" t="e">
        <v>#VALUE!</v>
      </c>
    </row>
    <row r="64" spans="1:2" x14ac:dyDescent="0.25">
      <c r="A64" s="41" t="s">
        <v>105</v>
      </c>
      <c r="B64" s="47">
        <v>0.48611339359079703</v>
      </c>
    </row>
    <row r="65" spans="1:2" x14ac:dyDescent="0.25">
      <c r="A65" s="41" t="s">
        <v>106</v>
      </c>
      <c r="B65" s="47">
        <v>0</v>
      </c>
    </row>
    <row r="66" spans="1:2" x14ac:dyDescent="0.25">
      <c r="A66" s="41" t="s">
        <v>107</v>
      </c>
      <c r="B66" s="47">
        <v>1.8887168058021381E-5</v>
      </c>
    </row>
    <row r="67" spans="1:2" x14ac:dyDescent="0.25">
      <c r="A67" s="41" t="s">
        <v>77</v>
      </c>
      <c r="B67" s="47">
        <v>5.7350959194792534E-5</v>
      </c>
    </row>
    <row r="68" spans="1:2" x14ac:dyDescent="0.25">
      <c r="A68" s="41" t="s">
        <v>108</v>
      </c>
      <c r="B68" s="47" t="e">
        <v>#VALUE!</v>
      </c>
    </row>
    <row r="69" spans="1:2" x14ac:dyDescent="0.25">
      <c r="A69" s="41" t="s">
        <v>109</v>
      </c>
      <c r="B69" s="47" t="e">
        <v>#VALUE!</v>
      </c>
    </row>
    <row r="70" spans="1:2" x14ac:dyDescent="0.25">
      <c r="A70" s="41" t="s">
        <v>110</v>
      </c>
      <c r="B70" s="47">
        <v>2.6892564205997039E-4</v>
      </c>
    </row>
    <row r="71" spans="1:2" x14ac:dyDescent="0.25">
      <c r="A71" s="41" t="s">
        <v>111</v>
      </c>
      <c r="B71" s="47">
        <v>0</v>
      </c>
    </row>
    <row r="72" spans="1:2" x14ac:dyDescent="0.25">
      <c r="A72" s="41" t="s">
        <v>112</v>
      </c>
      <c r="B72" s="47">
        <v>0</v>
      </c>
    </row>
    <row r="73" spans="1:2" x14ac:dyDescent="0.25">
      <c r="A73" s="41" t="s">
        <v>113</v>
      </c>
      <c r="B73" s="47">
        <v>0</v>
      </c>
    </row>
    <row r="74" spans="1:2" x14ac:dyDescent="0.25">
      <c r="A74" s="41" t="s">
        <v>114</v>
      </c>
      <c r="B74" s="47" t="e">
        <v>#VALUE!</v>
      </c>
    </row>
    <row r="75" spans="1:2" x14ac:dyDescent="0.25">
      <c r="A75" s="41" t="s">
        <v>115</v>
      </c>
      <c r="B75" s="47">
        <v>3.5774518321664023E-4</v>
      </c>
    </row>
    <row r="76" spans="1:2" x14ac:dyDescent="0.25">
      <c r="A76" s="41" t="s">
        <v>116</v>
      </c>
      <c r="B76" s="47">
        <v>0</v>
      </c>
    </row>
    <row r="77" spans="1:2" x14ac:dyDescent="0.25">
      <c r="A77" s="41" t="s">
        <v>117</v>
      </c>
      <c r="B77" s="47" t="e">
        <v>#VALUE!</v>
      </c>
    </row>
    <row r="78" spans="1:2" x14ac:dyDescent="0.25">
      <c r="A78" s="41" t="s">
        <v>118</v>
      </c>
      <c r="B78" s="47" t="e">
        <v>#VALUE!</v>
      </c>
    </row>
    <row r="79" spans="1:2" x14ac:dyDescent="0.25">
      <c r="A79" s="41" t="s">
        <v>119</v>
      </c>
      <c r="B79" s="47">
        <v>0</v>
      </c>
    </row>
    <row r="80" spans="1:2" x14ac:dyDescent="0.25">
      <c r="A80" s="41" t="s">
        <v>69</v>
      </c>
      <c r="B80" s="47">
        <v>0</v>
      </c>
    </row>
    <row r="81" spans="1:2" x14ac:dyDescent="0.25">
      <c r="A81" s="41" t="s">
        <v>120</v>
      </c>
      <c r="B81" s="47" t="e">
        <v>#VALUE!</v>
      </c>
    </row>
    <row r="82" spans="1:2" x14ac:dyDescent="0.25">
      <c r="A82" s="41" t="s">
        <v>121</v>
      </c>
      <c r="B82" s="47" t="e">
        <v>#VALUE!</v>
      </c>
    </row>
    <row r="83" spans="1:2" x14ac:dyDescent="0.25">
      <c r="A83" s="41" t="s">
        <v>122</v>
      </c>
      <c r="B83" s="47">
        <v>0</v>
      </c>
    </row>
    <row r="84" spans="1:2" x14ac:dyDescent="0.25">
      <c r="A84" s="41" t="s">
        <v>123</v>
      </c>
      <c r="B84" s="47">
        <v>0</v>
      </c>
    </row>
    <row r="85" spans="1:2" x14ac:dyDescent="0.25">
      <c r="A85" s="41" t="s">
        <v>124</v>
      </c>
      <c r="B85" s="47">
        <v>0</v>
      </c>
    </row>
    <row r="86" spans="1:2" x14ac:dyDescent="0.25">
      <c r="A86" s="41" t="s">
        <v>125</v>
      </c>
      <c r="B86" s="47">
        <v>1</v>
      </c>
    </row>
    <row r="87" spans="1:2" x14ac:dyDescent="0.25">
      <c r="A87" s="41" t="s">
        <v>126</v>
      </c>
      <c r="B87" s="47" t="e">
        <v>#VALUE!</v>
      </c>
    </row>
    <row r="88" spans="1:2" x14ac:dyDescent="0.25">
      <c r="A88" s="41" t="s">
        <v>127</v>
      </c>
      <c r="B88" s="47" t="e">
        <v>#VALUE!</v>
      </c>
    </row>
    <row r="89" spans="1:2" x14ac:dyDescent="0.25">
      <c r="A89" s="41" t="s">
        <v>128</v>
      </c>
      <c r="B89" s="47">
        <v>0</v>
      </c>
    </row>
    <row r="90" spans="1:2" x14ac:dyDescent="0.25">
      <c r="A90" s="41" t="s">
        <v>129</v>
      </c>
      <c r="B90" s="47">
        <v>0</v>
      </c>
    </row>
    <row r="91" spans="1:2" x14ac:dyDescent="0.25">
      <c r="A91" s="41" t="s">
        <v>130</v>
      </c>
      <c r="B91" s="47">
        <v>5.4182140861734639E-2</v>
      </c>
    </row>
    <row r="92" spans="1:2" x14ac:dyDescent="0.25">
      <c r="A92" s="41" t="s">
        <v>131</v>
      </c>
      <c r="B92" s="47">
        <v>1.5810526648642667E-5</v>
      </c>
    </row>
    <row r="93" spans="1:2" x14ac:dyDescent="0.25">
      <c r="A93" s="41" t="s">
        <v>132</v>
      </c>
      <c r="B93" s="47" t="e">
        <v>#VALUE!</v>
      </c>
    </row>
    <row r="94" spans="1:2" x14ac:dyDescent="0.25">
      <c r="A94" s="41" t="s">
        <v>133</v>
      </c>
      <c r="B94" s="47">
        <v>0</v>
      </c>
    </row>
    <row r="95" spans="1:2" x14ac:dyDescent="0.25">
      <c r="A95" s="41" t="s">
        <v>134</v>
      </c>
      <c r="B95" s="47">
        <v>2.271694684234439E-3</v>
      </c>
    </row>
    <row r="96" spans="1:2" x14ac:dyDescent="0.25">
      <c r="B96" s="46"/>
    </row>
    <row r="97" spans="1:2" x14ac:dyDescent="0.25">
      <c r="A97" s="252" t="s">
        <v>137</v>
      </c>
      <c r="B97" s="252"/>
    </row>
    <row r="98" spans="1:2" x14ac:dyDescent="0.25">
      <c r="A98" s="41" t="s">
        <v>66</v>
      </c>
      <c r="B98" s="47">
        <v>6.1158966188391874E-2</v>
      </c>
    </row>
    <row r="99" spans="1:2" x14ac:dyDescent="0.25">
      <c r="A99" s="41" t="s">
        <v>55</v>
      </c>
      <c r="B99" s="47" t="s">
        <v>58</v>
      </c>
    </row>
    <row r="100" spans="1:2" x14ac:dyDescent="0.25">
      <c r="A100" s="41" t="s">
        <v>135</v>
      </c>
      <c r="B100" s="47" t="s">
        <v>58</v>
      </c>
    </row>
    <row r="101" spans="1:2" x14ac:dyDescent="0.25">
      <c r="A101" s="41" t="s">
        <v>63</v>
      </c>
      <c r="B101" s="47">
        <v>0</v>
      </c>
    </row>
    <row r="102" spans="1:2" x14ac:dyDescent="0.25">
      <c r="A102" s="41" t="s">
        <v>136</v>
      </c>
      <c r="B102" s="47" t="s">
        <v>58</v>
      </c>
    </row>
    <row r="103" spans="1:2" x14ac:dyDescent="0.25">
      <c r="A103" s="41"/>
      <c r="B103" s="47"/>
    </row>
    <row r="104" spans="1:2" x14ac:dyDescent="0.25">
      <c r="A104" s="250" t="s">
        <v>138</v>
      </c>
      <c r="B104" s="251"/>
    </row>
    <row r="105" spans="1:2" x14ac:dyDescent="0.25">
      <c r="A105" s="41" t="s">
        <v>59</v>
      </c>
      <c r="B105" s="47">
        <v>0.34293118609359441</v>
      </c>
    </row>
    <row r="106" spans="1:2" x14ac:dyDescent="0.25">
      <c r="A106" s="41" t="s">
        <v>139</v>
      </c>
      <c r="B106" s="47">
        <v>2.4489269833086291E-3</v>
      </c>
    </row>
    <row r="107" spans="1:2" x14ac:dyDescent="0.25">
      <c r="A107" s="41" t="s">
        <v>57</v>
      </c>
      <c r="B107" s="47">
        <v>3.3403805747670053E-2</v>
      </c>
    </row>
    <row r="108" spans="1:2" x14ac:dyDescent="0.25">
      <c r="A108" s="41" t="s">
        <v>140</v>
      </c>
      <c r="B108" s="47">
        <v>0.46518646259969826</v>
      </c>
    </row>
    <row r="109" spans="1:2" x14ac:dyDescent="0.25">
      <c r="A109" s="41" t="s">
        <v>141</v>
      </c>
      <c r="B109" s="47">
        <v>0.58911358911358913</v>
      </c>
    </row>
    <row r="110" spans="1:2" x14ac:dyDescent="0.25">
      <c r="A110" s="41" t="s">
        <v>86</v>
      </c>
      <c r="B110" s="47">
        <v>1.1314777098891152E-2</v>
      </c>
    </row>
    <row r="111" spans="1:2" x14ac:dyDescent="0.25">
      <c r="A111" s="41" t="s">
        <v>142</v>
      </c>
      <c r="B111" s="47">
        <v>5.3806474564212026E-3</v>
      </c>
    </row>
    <row r="112" spans="1:2" x14ac:dyDescent="0.25">
      <c r="A112" s="41" t="s">
        <v>143</v>
      </c>
      <c r="B112" s="47">
        <v>1.1738028544751236E-2</v>
      </c>
    </row>
    <row r="113" spans="1:2" x14ac:dyDescent="0.25">
      <c r="B113" s="46"/>
    </row>
    <row r="114" spans="1:2" x14ac:dyDescent="0.25">
      <c r="A114" s="252" t="s">
        <v>144</v>
      </c>
      <c r="B114" s="252"/>
    </row>
    <row r="115" spans="1:2" x14ac:dyDescent="0.25">
      <c r="A115" s="41" t="s">
        <v>71</v>
      </c>
      <c r="B115" s="47">
        <v>7.474705999716626E-4</v>
      </c>
    </row>
    <row r="116" spans="1:2" x14ac:dyDescent="0.25">
      <c r="A116" s="41" t="s">
        <v>74</v>
      </c>
      <c r="B116" s="47">
        <v>1.0815327227268196E-4</v>
      </c>
    </row>
    <row r="117" spans="1:2" x14ac:dyDescent="0.25">
      <c r="A117" s="41" t="s">
        <v>73</v>
      </c>
      <c r="B117" s="47">
        <v>2.3377521210823181E-4</v>
      </c>
    </row>
    <row r="118" spans="1:2" x14ac:dyDescent="0.25">
      <c r="A118" s="41" t="s">
        <v>63</v>
      </c>
      <c r="B118" s="47">
        <v>9.7459215964843717E-3</v>
      </c>
    </row>
    <row r="119" spans="1:2" x14ac:dyDescent="0.25">
      <c r="A119" s="41" t="s">
        <v>145</v>
      </c>
      <c r="B119" s="47">
        <v>9.0280922186622092E-2</v>
      </c>
    </row>
    <row r="120" spans="1:2" x14ac:dyDescent="0.25">
      <c r="A120" s="41" t="s">
        <v>146</v>
      </c>
      <c r="B120" s="47">
        <v>4.8633927027494387E-3</v>
      </c>
    </row>
    <row r="121" spans="1:2" x14ac:dyDescent="0.25">
      <c r="A121" s="41" t="s">
        <v>147</v>
      </c>
      <c r="B121" s="47">
        <v>7.2561700120633829E-5</v>
      </c>
    </row>
    <row r="122" spans="1:2" x14ac:dyDescent="0.25">
      <c r="A122" s="41" t="s">
        <v>79</v>
      </c>
      <c r="B122" s="47">
        <v>1.6061103576272396E-4</v>
      </c>
    </row>
    <row r="123" spans="1:2" x14ac:dyDescent="0.25">
      <c r="A123" s="41" t="s">
        <v>148</v>
      </c>
      <c r="B123" s="47">
        <v>2.0997567021038648E-4</v>
      </c>
    </row>
    <row r="124" spans="1:2" x14ac:dyDescent="0.25">
      <c r="A124" s="41" t="s">
        <v>149</v>
      </c>
      <c r="B124" s="47">
        <v>5.079271339929074E-4</v>
      </c>
    </row>
    <row r="125" spans="1:2" x14ac:dyDescent="0.25">
      <c r="A125" s="41" t="s">
        <v>150</v>
      </c>
      <c r="B125" s="47">
        <v>8.6430423509075201E-3</v>
      </c>
    </row>
    <row r="126" spans="1:2" x14ac:dyDescent="0.25">
      <c r="A126" s="41" t="s">
        <v>136</v>
      </c>
      <c r="B126" s="47">
        <v>6.6310554429913427E-3</v>
      </c>
    </row>
    <row r="127" spans="1:2" x14ac:dyDescent="0.25">
      <c r="A127" s="41" t="s">
        <v>72</v>
      </c>
      <c r="B127" s="47">
        <v>1.4023117453953601E-3</v>
      </c>
    </row>
    <row r="128" spans="1:2" x14ac:dyDescent="0.25">
      <c r="A128" s="41" t="s">
        <v>151</v>
      </c>
      <c r="B128" s="47">
        <v>1.2362690999487562E-4</v>
      </c>
    </row>
    <row r="129" spans="1:2" x14ac:dyDescent="0.25">
      <c r="A129" s="41" t="s">
        <v>152</v>
      </c>
      <c r="B129" s="47">
        <v>6.5756740545337734E-3</v>
      </c>
    </row>
    <row r="130" spans="1:2" x14ac:dyDescent="0.25">
      <c r="A130" s="41" t="s">
        <v>66</v>
      </c>
      <c r="B130" s="47">
        <v>3.0026265914345034E-3</v>
      </c>
    </row>
    <row r="131" spans="1:2" x14ac:dyDescent="0.25">
      <c r="A131" s="41" t="s">
        <v>153</v>
      </c>
      <c r="B131" s="47">
        <v>2.6193095500026193E-8</v>
      </c>
    </row>
    <row r="132" spans="1:2" x14ac:dyDescent="0.25">
      <c r="A132" s="41" t="s">
        <v>99</v>
      </c>
      <c r="B132" s="47">
        <v>1.4216389519183163E-5</v>
      </c>
    </row>
    <row r="133" spans="1:2" x14ac:dyDescent="0.25">
      <c r="A133" s="41" t="s">
        <v>154</v>
      </c>
      <c r="B133" s="47">
        <v>1.2104880197641134E-4</v>
      </c>
    </row>
    <row r="134" spans="1:2" x14ac:dyDescent="0.25">
      <c r="A134" s="41" t="s">
        <v>59</v>
      </c>
      <c r="B134" s="47">
        <v>0.3868109857681204</v>
      </c>
    </row>
    <row r="135" spans="1:2" x14ac:dyDescent="0.25">
      <c r="A135" s="41" t="s">
        <v>155</v>
      </c>
      <c r="B135" s="47">
        <v>1.5778395589622863E-6</v>
      </c>
    </row>
    <row r="136" spans="1:2" x14ac:dyDescent="0.25">
      <c r="A136" s="41" t="s">
        <v>55</v>
      </c>
      <c r="B136" s="47">
        <v>8.7263415848785712E-3</v>
      </c>
    </row>
    <row r="137" spans="1:2" x14ac:dyDescent="0.25">
      <c r="A137" s="41" t="s">
        <v>156</v>
      </c>
      <c r="B137" s="47">
        <v>0.17002947177510769</v>
      </c>
    </row>
  </sheetData>
  <customSheetViews>
    <customSheetView guid="{821D1691-1FA5-412F-8FF4-9E35B3587D16}">
      <selection activeCell="C131" sqref="C131"/>
      <rowBreaks count="2" manualBreakCount="2">
        <brk id="48" max="1" man="1"/>
        <brk id="96" max="1" man="1"/>
      </rowBreaks>
      <pageMargins left="0.7" right="0.7" top="0.75" bottom="0.75" header="0.3" footer="0.3"/>
      <pageSetup paperSize="9" orientation="portrait" horizontalDpi="4294967292" verticalDpi="4294967292" r:id="rId1"/>
    </customSheetView>
  </customSheetViews>
  <mergeCells count="8">
    <mergeCell ref="A104:B104"/>
    <mergeCell ref="A114:B114"/>
    <mergeCell ref="A1:B1"/>
    <mergeCell ref="A5:B5"/>
    <mergeCell ref="A17:B17"/>
    <mergeCell ref="A37:B37"/>
    <mergeCell ref="A49:B49"/>
    <mergeCell ref="A97:B97"/>
  </mergeCells>
  <conditionalFormatting sqref="A2:B4 A1 A6:B16 A5 A18:B36 A17 A38:B48 A37 A50:B96 A49 A98:B103 A97 A105:B113 A104 A115:B137 A114">
    <cfRule type="expression" dxfId="1" priority="1" stopIfTrue="1">
      <formula>IF($B1&gt;0.15,TRUE,FALSE)</formula>
    </cfRule>
    <cfRule type="expression" dxfId="0" priority="2">
      <formula>IF($B1&gt;0.075,TRUE,FALSE)</formula>
    </cfRule>
  </conditionalFormatting>
  <pageMargins left="0.7" right="0.7" top="0.75" bottom="0.75" header="0.3" footer="0.3"/>
  <pageSetup paperSize="9" orientation="portrait" horizontalDpi="4294967292" verticalDpi="4294967292" r:id="rId2"/>
  <rowBreaks count="2" manualBreakCount="2">
    <brk id="48" max="1" man="1"/>
    <brk id="96"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D269"/>
  <sheetViews>
    <sheetView topLeftCell="A250" zoomScale="85" zoomScaleNormal="85" workbookViewId="0">
      <selection activeCell="B259" sqref="B259:Z268"/>
    </sheetView>
  </sheetViews>
  <sheetFormatPr defaultRowHeight="15" x14ac:dyDescent="0.25"/>
  <cols>
    <col min="1" max="1" width="25" bestFit="1" customWidth="1"/>
    <col min="2" max="2" width="23.42578125" bestFit="1" customWidth="1"/>
    <col min="3" max="15" width="21.7109375" bestFit="1" customWidth="1"/>
    <col min="16" max="27" width="20.28515625" bestFit="1" customWidth="1"/>
    <col min="28" max="28" width="20.140625" bestFit="1" customWidth="1"/>
    <col min="29" max="29" width="17.5703125" bestFit="1" customWidth="1"/>
  </cols>
  <sheetData>
    <row r="1" spans="1:29" x14ac:dyDescent="0.25">
      <c r="A1" s="203" t="s">
        <v>436</v>
      </c>
      <c r="B1" s="203"/>
      <c r="C1" s="203"/>
    </row>
    <row r="2" spans="1:29" x14ac:dyDescent="0.25">
      <c r="A2" t="s">
        <v>161</v>
      </c>
      <c r="B2" t="s">
        <v>431</v>
      </c>
      <c r="C2" t="s">
        <v>440</v>
      </c>
      <c r="D2" t="s">
        <v>442</v>
      </c>
      <c r="E2">
        <v>2006</v>
      </c>
      <c r="F2">
        <v>2007</v>
      </c>
      <c r="G2">
        <v>2008</v>
      </c>
      <c r="H2">
        <v>2009</v>
      </c>
      <c r="I2">
        <v>2010</v>
      </c>
      <c r="J2">
        <v>2011</v>
      </c>
      <c r="K2">
        <v>2012</v>
      </c>
      <c r="L2">
        <v>2013</v>
      </c>
      <c r="M2">
        <v>2014</v>
      </c>
      <c r="N2">
        <v>2015</v>
      </c>
      <c r="O2">
        <v>2016</v>
      </c>
      <c r="P2">
        <v>2017</v>
      </c>
      <c r="Q2">
        <v>2018</v>
      </c>
      <c r="R2">
        <v>2019</v>
      </c>
      <c r="S2">
        <v>2020</v>
      </c>
      <c r="T2">
        <v>2021</v>
      </c>
      <c r="U2">
        <v>2022</v>
      </c>
      <c r="V2">
        <v>2023</v>
      </c>
      <c r="W2">
        <v>2024</v>
      </c>
      <c r="X2">
        <v>2025</v>
      </c>
      <c r="Y2">
        <v>2026</v>
      </c>
      <c r="Z2">
        <v>2027</v>
      </c>
      <c r="AA2">
        <v>2028</v>
      </c>
      <c r="AB2">
        <v>2029</v>
      </c>
      <c r="AC2">
        <v>2030</v>
      </c>
    </row>
    <row r="3" spans="1:29" x14ac:dyDescent="0.25">
      <c r="A3" t="str">
        <f>'Member Limits'!A2</f>
        <v>Australia</v>
      </c>
      <c r="B3" t="b">
        <f>IF(COUNTIF(Developed,$A3)=0,OTDS!$B$13,OTDS!$B$6)</f>
        <v>1</v>
      </c>
      <c r="C3" s="38">
        <f t="shared" ref="C3:C11" si="0">VLOOKUP($A3,Member_Limits,3,FALSE)</f>
        <v>0.05</v>
      </c>
      <c r="D3" s="38">
        <f>IF(COUNTIF(Developed,$A3)=1,IF(OTDS!$C$6,$C3+IF(RIGHT(OTDS!$D$6,1)="%",OTDS!$D$6,OTDS!$D$6/100),$C3), IF(OTDS!$C$13,$C3+IF(RIGHT(OTDS!$D$13,1)="%",OTDS!$D$13,OTDS!$D$13/100),$C3))</f>
        <v>0.05</v>
      </c>
      <c r="E3" s="3">
        <f>IF($B3=FALSE,0,VLOOKUP($A3,VoP_OTDS,E$2-2003,FALSE)*$D3)</f>
        <v>1095742000</v>
      </c>
      <c r="F3" s="3">
        <f t="shared" ref="E3:N12" si="1">IF($B3=FALSE,0,VLOOKUP($A3,VoP_OTDS,F$2-2003,FALSE)*$D3)</f>
        <v>1399881500</v>
      </c>
      <c r="G3" s="3">
        <f t="shared" si="1"/>
        <v>1732731000</v>
      </c>
      <c r="H3" s="3">
        <f t="shared" si="1"/>
        <v>1485823500</v>
      </c>
      <c r="I3" s="3">
        <f t="shared" si="1"/>
        <v>1584162000</v>
      </c>
      <c r="J3" s="3">
        <f t="shared" si="1"/>
        <v>2068544500</v>
      </c>
      <c r="K3" s="3">
        <f t="shared" si="1"/>
        <v>2131347500</v>
      </c>
      <c r="L3" s="3">
        <f t="shared" si="1"/>
        <v>2051371500</v>
      </c>
      <c r="M3" s="3">
        <f t="shared" si="1"/>
        <v>2112912645</v>
      </c>
      <c r="N3" s="3">
        <f t="shared" si="1"/>
        <v>2176300024.3499999</v>
      </c>
      <c r="O3" s="3">
        <f t="shared" ref="O3:AC12" si="2">IF($B3=FALSE,0,VLOOKUP($A3,VoP_OTDS,O$2-2003,FALSE)*$D3)</f>
        <v>2241589025.0805001</v>
      </c>
      <c r="P3" s="3">
        <f t="shared" si="2"/>
        <v>2308836695.8329153</v>
      </c>
      <c r="Q3" s="3">
        <f t="shared" si="2"/>
        <v>2378101796.7079024</v>
      </c>
      <c r="R3" s="3">
        <f t="shared" si="2"/>
        <v>2449444850.6091399</v>
      </c>
      <c r="S3" s="3">
        <f t="shared" si="2"/>
        <v>2522928196.1274142</v>
      </c>
      <c r="T3" s="3">
        <f t="shared" si="2"/>
        <v>2598616042.0112362</v>
      </c>
      <c r="U3" s="3">
        <f t="shared" si="2"/>
        <v>2676574523.2715735</v>
      </c>
      <c r="V3" s="3">
        <f t="shared" si="2"/>
        <v>2756871758.9697208</v>
      </c>
      <c r="W3" s="3">
        <f t="shared" si="2"/>
        <v>2839577911.7388124</v>
      </c>
      <c r="X3" s="3">
        <f t="shared" si="2"/>
        <v>2924765249.0909767</v>
      </c>
      <c r="Y3" s="3">
        <f t="shared" si="2"/>
        <v>3012508206.5637064</v>
      </c>
      <c r="Z3" s="3">
        <f t="shared" si="2"/>
        <v>3102883452.7606177</v>
      </c>
      <c r="AA3" s="3">
        <f t="shared" si="2"/>
        <v>3195969956.3434362</v>
      </c>
      <c r="AB3" s="3">
        <f t="shared" si="2"/>
        <v>3291849055.0337391</v>
      </c>
      <c r="AC3" s="3">
        <f t="shared" si="2"/>
        <v>3390604526.6847515</v>
      </c>
    </row>
    <row r="4" spans="1:29" x14ac:dyDescent="0.25">
      <c r="A4" t="str">
        <f>'Member Limits'!A3</f>
        <v>Brazil</v>
      </c>
      <c r="B4" t="b">
        <f>IF(COUNTIF(Developed,$A4)=0,OTDS!$B$13,OTDS!$B$6)</f>
        <v>1</v>
      </c>
      <c r="C4" s="38">
        <f t="shared" si="0"/>
        <v>0.1</v>
      </c>
      <c r="D4" s="38">
        <f>IF(COUNTIF(Developed,$A4)=1,IF(OTDS!$C$6,$C4+IF(RIGHT(OTDS!$D$6,1)="%",OTDS!$D$6,OTDS!$D$6/100),$C4), IF(OTDS!$C$13,$C4+IF(RIGHT(OTDS!$D$13,1)="%",OTDS!$D$13,OTDS!$D$13/100),$C4))</f>
        <v>0.1</v>
      </c>
      <c r="E4" s="3">
        <f t="shared" si="1"/>
        <v>7714544000</v>
      </c>
      <c r="F4" s="3">
        <f t="shared" si="1"/>
        <v>10899030000</v>
      </c>
      <c r="G4" s="3">
        <f t="shared" si="1"/>
        <v>14573993000</v>
      </c>
      <c r="H4" s="3">
        <f t="shared" si="1"/>
        <v>13349177000</v>
      </c>
      <c r="I4" s="3">
        <f t="shared" si="1"/>
        <v>16254733000</v>
      </c>
      <c r="J4" s="3">
        <f t="shared" si="1"/>
        <v>20921522000</v>
      </c>
      <c r="K4" s="3">
        <f t="shared" si="1"/>
        <v>20226095000</v>
      </c>
      <c r="L4" s="3">
        <f t="shared" si="1"/>
        <v>21940156000</v>
      </c>
      <c r="M4" s="3">
        <f t="shared" si="1"/>
        <v>22598360680</v>
      </c>
      <c r="N4" s="3">
        <f t="shared" si="1"/>
        <v>23276311500.400002</v>
      </c>
      <c r="O4" s="3">
        <f t="shared" si="2"/>
        <v>23974600845.412003</v>
      </c>
      <c r="P4" s="3">
        <f t="shared" si="2"/>
        <v>24693838870.774361</v>
      </c>
      <c r="Q4" s="3">
        <f t="shared" si="2"/>
        <v>25434654036.897591</v>
      </c>
      <c r="R4" s="3">
        <f t="shared" si="2"/>
        <v>26197693658.004517</v>
      </c>
      <c r="S4" s="3">
        <f t="shared" si="2"/>
        <v>26983624467.744656</v>
      </c>
      <c r="T4" s="3">
        <f t="shared" si="2"/>
        <v>27793133201.776997</v>
      </c>
      <c r="U4" s="3">
        <f t="shared" si="2"/>
        <v>28626927197.830307</v>
      </c>
      <c r="V4" s="3">
        <f t="shared" si="2"/>
        <v>29485735013.765213</v>
      </c>
      <c r="W4" s="3">
        <f t="shared" si="2"/>
        <v>30370307064.178169</v>
      </c>
      <c r="X4" s="3">
        <f t="shared" si="2"/>
        <v>31281416276.103516</v>
      </c>
      <c r="Y4" s="3">
        <f t="shared" si="2"/>
        <v>32219858764.386623</v>
      </c>
      <c r="Z4" s="3">
        <f t="shared" si="2"/>
        <v>33186454527.318222</v>
      </c>
      <c r="AA4" s="3">
        <f t="shared" si="2"/>
        <v>34182048163.137772</v>
      </c>
      <c r="AB4" s="3">
        <f t="shared" si="2"/>
        <v>35207509608.031906</v>
      </c>
      <c r="AC4" s="3">
        <f t="shared" si="2"/>
        <v>36263734896.272858</v>
      </c>
    </row>
    <row r="5" spans="1:29" x14ac:dyDescent="0.25">
      <c r="A5" t="str">
        <f>'Member Limits'!A4</f>
        <v>Canada</v>
      </c>
      <c r="B5" t="b">
        <f>IF(COUNTIF(Developed,$A5)=0,OTDS!$B$13,OTDS!$B$6)</f>
        <v>1</v>
      </c>
      <c r="C5" s="38">
        <f t="shared" si="0"/>
        <v>0.05</v>
      </c>
      <c r="D5" s="38">
        <f>IF(COUNTIF(Developed,$A5)=1,IF(OTDS!$C$6,$C5+IF(RIGHT(OTDS!$D$6,1)="%",OTDS!$D$6,OTDS!$D$6/100),$C5), IF(OTDS!$C$13,$C5+IF(RIGHT(OTDS!$D$13,1)="%",OTDS!$D$13,OTDS!$D$13/100),$C5))</f>
        <v>0.05</v>
      </c>
      <c r="E5" s="3">
        <f t="shared" si="1"/>
        <v>855743000</v>
      </c>
      <c r="F5" s="3">
        <f t="shared" si="1"/>
        <v>1094574000</v>
      </c>
      <c r="G5" s="3">
        <f t="shared" si="1"/>
        <v>1598968500</v>
      </c>
      <c r="H5" s="3">
        <f t="shared" si="1"/>
        <v>1289153000</v>
      </c>
      <c r="I5" s="3">
        <f t="shared" si="1"/>
        <v>1308376000</v>
      </c>
      <c r="J5" s="3">
        <f t="shared" si="1"/>
        <v>1627822500</v>
      </c>
      <c r="K5" s="3">
        <f t="shared" si="1"/>
        <v>1863623000</v>
      </c>
      <c r="L5" s="3">
        <f t="shared" si="1"/>
        <v>2055614000</v>
      </c>
      <c r="M5" s="3">
        <f t="shared" si="1"/>
        <v>2117282420</v>
      </c>
      <c r="N5" s="3">
        <f t="shared" si="1"/>
        <v>2180800892.5999999</v>
      </c>
      <c r="O5" s="3">
        <f t="shared" si="2"/>
        <v>2246224919.3779998</v>
      </c>
      <c r="P5" s="3">
        <f t="shared" si="2"/>
        <v>2313611666.9593401</v>
      </c>
      <c r="Q5" s="3">
        <f t="shared" si="2"/>
        <v>2383020016.9681201</v>
      </c>
      <c r="R5" s="3">
        <f t="shared" si="2"/>
        <v>2454510617.4771638</v>
      </c>
      <c r="S5" s="3">
        <f t="shared" si="2"/>
        <v>2528145936.0014787</v>
      </c>
      <c r="T5" s="3">
        <f t="shared" si="2"/>
        <v>2603990314.0815229</v>
      </c>
      <c r="U5" s="3">
        <f t="shared" si="2"/>
        <v>2682110023.5039687</v>
      </c>
      <c r="V5" s="3">
        <f t="shared" si="2"/>
        <v>2762573324.2090874</v>
      </c>
      <c r="W5" s="3">
        <f t="shared" si="2"/>
        <v>2845450523.93536</v>
      </c>
      <c r="X5" s="3">
        <f t="shared" si="2"/>
        <v>2930814039.6534209</v>
      </c>
      <c r="Y5" s="3">
        <f t="shared" si="2"/>
        <v>3018738460.8430233</v>
      </c>
      <c r="Z5" s="3">
        <f t="shared" si="2"/>
        <v>3109300614.668314</v>
      </c>
      <c r="AA5" s="3">
        <f t="shared" si="2"/>
        <v>3202579633.1083636</v>
      </c>
      <c r="AB5" s="3">
        <f t="shared" si="2"/>
        <v>3298657022.1016145</v>
      </c>
      <c r="AC5" s="3">
        <f t="shared" si="2"/>
        <v>3397616732.7646632</v>
      </c>
    </row>
    <row r="6" spans="1:29" x14ac:dyDescent="0.25">
      <c r="A6" t="str">
        <f>'Member Limits'!A5</f>
        <v>China</v>
      </c>
      <c r="B6" t="b">
        <f>IF(COUNTIF(Developed,$A6)=0,OTDS!$B$13,OTDS!$B$6)</f>
        <v>1</v>
      </c>
      <c r="C6" s="38">
        <f t="shared" si="0"/>
        <v>8.5000000000000006E-2</v>
      </c>
      <c r="D6" s="38">
        <f>IF(COUNTIF(Developed,$A6)=1,IF(OTDS!$C$6,$C6+IF(RIGHT(OTDS!$D$6,1)="%",OTDS!$D$6,OTDS!$D$6/100),$C6), IF(OTDS!$C$13,$C6+IF(RIGHT(OTDS!$D$13,1)="%",OTDS!$D$13,OTDS!$D$13/100),$C6))</f>
        <v>8.5000000000000006E-2</v>
      </c>
      <c r="E6" s="3">
        <f t="shared" si="1"/>
        <v>43616804800</v>
      </c>
      <c r="F6" s="3">
        <f t="shared" si="1"/>
        <v>52227309900</v>
      </c>
      <c r="G6" s="3">
        <f t="shared" si="1"/>
        <v>65342992650.000008</v>
      </c>
      <c r="H6" s="3">
        <f t="shared" si="1"/>
        <v>65868287550.000008</v>
      </c>
      <c r="I6" s="3">
        <f t="shared" si="1"/>
        <v>75413310700</v>
      </c>
      <c r="J6" s="3">
        <f t="shared" si="1"/>
        <v>97976287850</v>
      </c>
      <c r="K6" s="3">
        <f t="shared" si="1"/>
        <v>104525931400</v>
      </c>
      <c r="L6" s="3">
        <f t="shared" si="1"/>
        <v>109190951550.00002</v>
      </c>
      <c r="M6" s="3">
        <f t="shared" si="1"/>
        <v>112466680096.50002</v>
      </c>
      <c r="N6" s="3">
        <f t="shared" si="1"/>
        <v>115840680499.395</v>
      </c>
      <c r="O6" s="3">
        <f t="shared" si="2"/>
        <v>119315900914.37686</v>
      </c>
      <c r="P6" s="3">
        <f t="shared" si="2"/>
        <v>122895377941.80818</v>
      </c>
      <c r="Q6" s="3">
        <f t="shared" si="2"/>
        <v>126582239280.06242</v>
      </c>
      <c r="R6" s="3">
        <f t="shared" si="2"/>
        <v>130379706458.46429</v>
      </c>
      <c r="S6" s="3">
        <f t="shared" si="2"/>
        <v>134291097652.21822</v>
      </c>
      <c r="T6" s="3">
        <f t="shared" si="2"/>
        <v>138319830581.78476</v>
      </c>
      <c r="U6" s="3">
        <f t="shared" si="2"/>
        <v>142469425499.23831</v>
      </c>
      <c r="V6" s="3">
        <f t="shared" si="2"/>
        <v>146743508264.21548</v>
      </c>
      <c r="W6" s="3">
        <f t="shared" si="2"/>
        <v>151145813512.14194</v>
      </c>
      <c r="X6" s="3">
        <f t="shared" si="2"/>
        <v>155680187917.5062</v>
      </c>
      <c r="Y6" s="3">
        <f t="shared" si="2"/>
        <v>160350593555.03137</v>
      </c>
      <c r="Z6" s="3">
        <f t="shared" si="2"/>
        <v>165161111361.68231</v>
      </c>
      <c r="AA6" s="3">
        <f t="shared" si="2"/>
        <v>170115944702.53278</v>
      </c>
      <c r="AB6" s="3">
        <f t="shared" si="2"/>
        <v>175219423043.60876</v>
      </c>
      <c r="AC6" s="3">
        <f t="shared" si="2"/>
        <v>180476005734.91702</v>
      </c>
    </row>
    <row r="7" spans="1:29" x14ac:dyDescent="0.25">
      <c r="A7" t="str">
        <f>'Member Limits'!A6</f>
        <v>European Union</v>
      </c>
      <c r="B7" t="b">
        <f>IF(COUNTIF(Developed,$A7)=0,OTDS!$B$13,OTDS!$B$6)</f>
        <v>1</v>
      </c>
      <c r="C7" s="38">
        <f t="shared" si="0"/>
        <v>0.05</v>
      </c>
      <c r="D7" s="38">
        <f>IF(COUNTIF(Developed,$A7)=1,IF(OTDS!$C$6,$C7+IF(RIGHT(OTDS!$D$6,1)="%",OTDS!$D$6,OTDS!$D$6/100),$C7), IF(OTDS!$C$13,$C7+IF(RIGHT(OTDS!$D$13,1)="%",OTDS!$D$13,OTDS!$D$13/100),$C7))</f>
        <v>0.05</v>
      </c>
      <c r="E7" s="3">
        <f t="shared" si="1"/>
        <v>15379231500</v>
      </c>
      <c r="F7" s="3">
        <f t="shared" si="1"/>
        <v>18509253000</v>
      </c>
      <c r="G7" s="3">
        <f t="shared" si="1"/>
        <v>20969514500</v>
      </c>
      <c r="H7" s="3">
        <f t="shared" si="1"/>
        <v>16948045500</v>
      </c>
      <c r="I7" s="3">
        <f t="shared" si="1"/>
        <v>17723566000</v>
      </c>
      <c r="J7" s="3">
        <f t="shared" si="1"/>
        <v>20662326000</v>
      </c>
      <c r="K7" s="3">
        <f t="shared" si="1"/>
        <v>19384422000</v>
      </c>
      <c r="L7" s="3">
        <f t="shared" si="1"/>
        <v>20672221500</v>
      </c>
      <c r="M7" s="3">
        <f t="shared" si="1"/>
        <v>21292388145</v>
      </c>
      <c r="N7" s="3">
        <f t="shared" si="1"/>
        <v>21931159789.350002</v>
      </c>
      <c r="O7" s="3">
        <f t="shared" si="2"/>
        <v>22589094583.030502</v>
      </c>
      <c r="P7" s="3">
        <f t="shared" si="2"/>
        <v>23266767420.521416</v>
      </c>
      <c r="Q7" s="3">
        <f t="shared" si="2"/>
        <v>23964770443.137058</v>
      </c>
      <c r="R7" s="3">
        <f t="shared" si="2"/>
        <v>24683713556.431171</v>
      </c>
      <c r="S7" s="3">
        <f t="shared" si="2"/>
        <v>25424224963.124107</v>
      </c>
      <c r="T7" s="3">
        <f t="shared" si="2"/>
        <v>26186951712.01783</v>
      </c>
      <c r="U7" s="3">
        <f t="shared" si="2"/>
        <v>26972560263.378365</v>
      </c>
      <c r="V7" s="3">
        <f t="shared" si="2"/>
        <v>27781737071.279713</v>
      </c>
      <c r="W7" s="3">
        <f t="shared" si="2"/>
        <v>28615189183.418106</v>
      </c>
      <c r="X7" s="3">
        <f t="shared" si="2"/>
        <v>29473644858.92065</v>
      </c>
      <c r="Y7" s="3">
        <f t="shared" si="2"/>
        <v>30357854204.688271</v>
      </c>
      <c r="Z7" s="3">
        <f t="shared" si="2"/>
        <v>31268589830.828918</v>
      </c>
      <c r="AA7" s="3">
        <f t="shared" si="2"/>
        <v>32206647525.753784</v>
      </c>
      <c r="AB7" s="3">
        <f t="shared" si="2"/>
        <v>33172846951.526398</v>
      </c>
      <c r="AC7" s="3">
        <f t="shared" si="2"/>
        <v>34168032360.072193</v>
      </c>
    </row>
    <row r="8" spans="1:29" x14ac:dyDescent="0.25">
      <c r="A8" t="str">
        <f>'Member Limits'!A7</f>
        <v>India</v>
      </c>
      <c r="B8" t="b">
        <f>IF(COUNTIF(Developed,$A8)=0,OTDS!$B$13,OTDS!$B$6)</f>
        <v>1</v>
      </c>
      <c r="C8" s="38">
        <f t="shared" si="0"/>
        <v>0.1</v>
      </c>
      <c r="D8" s="38">
        <f>IF(COUNTIF(Developed,$A8)=1,IF(OTDS!$C$6,$C8+IF(RIGHT(OTDS!$D$6,1)="%",OTDS!$D$6,OTDS!$D$6/100),$C8), IF(OTDS!$C$13,$C8+IF(RIGHT(OTDS!$D$13,1)="%",OTDS!$D$13,OTDS!$D$13/100),$C8))</f>
        <v>0.1</v>
      </c>
      <c r="E8" s="3">
        <f t="shared" si="1"/>
        <v>15555851000</v>
      </c>
      <c r="F8" s="3">
        <f t="shared" si="1"/>
        <v>19963180000</v>
      </c>
      <c r="G8" s="3">
        <f t="shared" si="1"/>
        <v>21506171000</v>
      </c>
      <c r="H8" s="3">
        <f t="shared" si="1"/>
        <v>20689802000</v>
      </c>
      <c r="I8" s="3">
        <f t="shared" si="1"/>
        <v>23063089000</v>
      </c>
      <c r="J8" s="3">
        <f t="shared" si="1"/>
        <v>24736350000</v>
      </c>
      <c r="K8" s="3">
        <f t="shared" si="1"/>
        <v>23867235000</v>
      </c>
      <c r="L8" s="3">
        <f t="shared" si="1"/>
        <v>25678177000</v>
      </c>
      <c r="M8" s="3">
        <f t="shared" si="1"/>
        <v>26448522310</v>
      </c>
      <c r="N8" s="3">
        <f t="shared" si="1"/>
        <v>27241977979.300003</v>
      </c>
      <c r="O8" s="3">
        <f t="shared" si="2"/>
        <v>28059237318.679001</v>
      </c>
      <c r="P8" s="3">
        <f t="shared" si="2"/>
        <v>28901014438.239368</v>
      </c>
      <c r="Q8" s="3">
        <f t="shared" si="2"/>
        <v>29768044871.386551</v>
      </c>
      <c r="R8" s="3">
        <f t="shared" si="2"/>
        <v>30661086217.528145</v>
      </c>
      <c r="S8" s="3">
        <f t="shared" si="2"/>
        <v>31580918804.053986</v>
      </c>
      <c r="T8" s="3">
        <f t="shared" si="2"/>
        <v>32528346368.175606</v>
      </c>
      <c r="U8" s="3">
        <f t="shared" si="2"/>
        <v>33504196759.220875</v>
      </c>
      <c r="V8" s="3">
        <f t="shared" si="2"/>
        <v>34509322661.997498</v>
      </c>
      <c r="W8" s="3">
        <f t="shared" si="2"/>
        <v>35544602341.857422</v>
      </c>
      <c r="X8" s="3">
        <f t="shared" si="2"/>
        <v>36610940412.113152</v>
      </c>
      <c r="Y8" s="3">
        <f t="shared" si="2"/>
        <v>37709268624.476547</v>
      </c>
      <c r="Z8" s="3">
        <f t="shared" si="2"/>
        <v>38840546683.210838</v>
      </c>
      <c r="AA8" s="3">
        <f t="shared" si="2"/>
        <v>40005763083.707169</v>
      </c>
      <c r="AB8" s="3">
        <f t="shared" si="2"/>
        <v>41205935976.218384</v>
      </c>
      <c r="AC8" s="3">
        <f t="shared" si="2"/>
        <v>42442114055.504936</v>
      </c>
    </row>
    <row r="9" spans="1:29" x14ac:dyDescent="0.25">
      <c r="A9" t="str">
        <f>'Member Limits'!A8</f>
        <v>Indonesia</v>
      </c>
      <c r="B9" t="b">
        <f>IF(COUNTIF(Developed,$A9)=0,OTDS!$B$13,OTDS!$B$6)</f>
        <v>1</v>
      </c>
      <c r="C9" s="38">
        <f t="shared" si="0"/>
        <v>0.1</v>
      </c>
      <c r="D9" s="38">
        <f>IF(COUNTIF(Developed,$A9)=1,IF(OTDS!$C$6,$C9+IF(RIGHT(OTDS!$D$6,1)="%",OTDS!$D$6,OTDS!$D$6/100),$C9), IF(OTDS!$C$13,$C9+IF(RIGHT(OTDS!$D$13,1)="%",OTDS!$D$13,OTDS!$D$13/100),$C9))</f>
        <v>0.1</v>
      </c>
      <c r="E9" s="3">
        <f t="shared" si="1"/>
        <v>4608225000</v>
      </c>
      <c r="F9" s="3">
        <f t="shared" si="1"/>
        <v>5492739000</v>
      </c>
      <c r="G9" s="3">
        <f t="shared" si="1"/>
        <v>6740651000</v>
      </c>
      <c r="H9" s="3">
        <f t="shared" si="1"/>
        <v>6779885000.000001</v>
      </c>
      <c r="I9" s="3">
        <f t="shared" si="1"/>
        <v>9245569000</v>
      </c>
      <c r="J9" s="3">
        <f t="shared" si="1"/>
        <v>14111587000</v>
      </c>
      <c r="K9" s="3">
        <f t="shared" si="1"/>
        <v>14429780000</v>
      </c>
      <c r="L9" s="3">
        <f t="shared" si="1"/>
        <v>12604684000</v>
      </c>
      <c r="M9" s="3">
        <f t="shared" si="1"/>
        <v>12982824520</v>
      </c>
      <c r="N9" s="3">
        <f t="shared" si="1"/>
        <v>13372309255.6</v>
      </c>
      <c r="O9" s="3">
        <f t="shared" si="2"/>
        <v>13773478533.268</v>
      </c>
      <c r="P9" s="3">
        <f t="shared" si="2"/>
        <v>14186682889.266041</v>
      </c>
      <c r="Q9" s="3">
        <f t="shared" si="2"/>
        <v>14612283375.944023</v>
      </c>
      <c r="R9" s="3">
        <f t="shared" si="2"/>
        <v>15050651877.222343</v>
      </c>
      <c r="S9" s="3">
        <f t="shared" si="2"/>
        <v>15502171433.539015</v>
      </c>
      <c r="T9" s="3">
        <f t="shared" si="2"/>
        <v>15967236576.545185</v>
      </c>
      <c r="U9" s="3">
        <f t="shared" si="2"/>
        <v>16446253673.841541</v>
      </c>
      <c r="V9" s="3">
        <f t="shared" si="2"/>
        <v>16939641284.056787</v>
      </c>
      <c r="W9" s="3">
        <f t="shared" si="2"/>
        <v>17447830522.578491</v>
      </c>
      <c r="X9" s="3">
        <f t="shared" si="2"/>
        <v>17971265438.255848</v>
      </c>
      <c r="Y9" s="3">
        <f t="shared" si="2"/>
        <v>18510403401.403522</v>
      </c>
      <c r="Z9" s="3">
        <f t="shared" si="2"/>
        <v>19065715503.445629</v>
      </c>
      <c r="AA9" s="3">
        <f t="shared" si="2"/>
        <v>19637686968.548996</v>
      </c>
      <c r="AB9" s="3">
        <f t="shared" si="2"/>
        <v>20226817577.605465</v>
      </c>
      <c r="AC9" s="3">
        <f t="shared" si="2"/>
        <v>20833622104.933632</v>
      </c>
    </row>
    <row r="10" spans="1:29" x14ac:dyDescent="0.25">
      <c r="A10" t="str">
        <f>'Member Limits'!A9</f>
        <v>Japan</v>
      </c>
      <c r="B10" t="b">
        <f>IF(COUNTIF(Developed,$A10)=0,OTDS!$B$13,OTDS!$B$6)</f>
        <v>1</v>
      </c>
      <c r="C10" s="38">
        <f t="shared" si="0"/>
        <v>0.05</v>
      </c>
      <c r="D10" s="38">
        <f>IF(COUNTIF(Developed,$A10)=1,IF(OTDS!$C$6,$C10+IF(RIGHT(OTDS!$D$6,1)="%",OTDS!$D$6,OTDS!$D$6/100),$C10), IF(OTDS!$C$13,$C10+IF(RIGHT(OTDS!$D$13,1)="%",OTDS!$D$13,OTDS!$D$13/100),$C10))</f>
        <v>0.05</v>
      </c>
      <c r="E10" s="3">
        <f t="shared" si="1"/>
        <v>3043207000</v>
      </c>
      <c r="F10" s="3">
        <f t="shared" si="1"/>
        <v>2921019000</v>
      </c>
      <c r="G10" s="3">
        <f t="shared" si="1"/>
        <v>3345279000</v>
      </c>
      <c r="H10" s="3">
        <f t="shared" si="1"/>
        <v>3586586000</v>
      </c>
      <c r="I10" s="3">
        <f t="shared" si="1"/>
        <v>3884684500</v>
      </c>
      <c r="J10" s="3">
        <f t="shared" si="1"/>
        <v>4097006500</v>
      </c>
      <c r="K10" s="3">
        <f t="shared" si="1"/>
        <v>4347004000</v>
      </c>
      <c r="L10" s="3">
        <f t="shared" si="1"/>
        <v>3557371500</v>
      </c>
      <c r="M10" s="3">
        <f t="shared" si="1"/>
        <v>3664092645</v>
      </c>
      <c r="N10" s="3">
        <f t="shared" si="1"/>
        <v>3774015424.3500004</v>
      </c>
      <c r="O10" s="3">
        <f t="shared" si="2"/>
        <v>3887235887.0805001</v>
      </c>
      <c r="P10" s="3">
        <f t="shared" si="2"/>
        <v>4003852963.6929154</v>
      </c>
      <c r="Q10" s="3">
        <f t="shared" si="2"/>
        <v>4123968552.6037025</v>
      </c>
      <c r="R10" s="3">
        <f t="shared" si="2"/>
        <v>4247687609.1818142</v>
      </c>
      <c r="S10" s="3">
        <f t="shared" si="2"/>
        <v>4375118237.4572687</v>
      </c>
      <c r="T10" s="3">
        <f t="shared" si="2"/>
        <v>4506371784.580987</v>
      </c>
      <c r="U10" s="3">
        <f t="shared" si="2"/>
        <v>4641562938.1184168</v>
      </c>
      <c r="V10" s="3">
        <f t="shared" si="2"/>
        <v>4780809826.2619696</v>
      </c>
      <c r="W10" s="3">
        <f t="shared" si="2"/>
        <v>4924234121.0498285</v>
      </c>
      <c r="X10" s="3">
        <f t="shared" si="2"/>
        <v>5071961144.6813231</v>
      </c>
      <c r="Y10" s="3">
        <f t="shared" si="2"/>
        <v>5224119979.0217628</v>
      </c>
      <c r="Z10" s="3">
        <f t="shared" si="2"/>
        <v>5380843578.392416</v>
      </c>
      <c r="AA10" s="3">
        <f t="shared" si="2"/>
        <v>5542268885.7441883</v>
      </c>
      <c r="AB10" s="3">
        <f t="shared" si="2"/>
        <v>5708536952.316514</v>
      </c>
      <c r="AC10" s="3">
        <f t="shared" si="2"/>
        <v>5879793060.8860092</v>
      </c>
    </row>
    <row r="11" spans="1:29" x14ac:dyDescent="0.25">
      <c r="A11" t="str">
        <f>'Member Limits'!A10</f>
        <v>United States of America</v>
      </c>
      <c r="B11" t="b">
        <f>IF(COUNTIF(Developed,$A11)=0,OTDS!$B$13,OTDS!$B$6)</f>
        <v>1</v>
      </c>
      <c r="C11" s="38">
        <f t="shared" si="0"/>
        <v>0.05</v>
      </c>
      <c r="D11" s="38">
        <f>IF(COUNTIF(Developed,$A11)=1,IF(OTDS!$C$6,$C11+IF(RIGHT(OTDS!$D$6,1)="%",OTDS!$D$6,OTDS!$D$6/100),$C11), IF(OTDS!$C$13,$C11+IF(RIGHT(OTDS!$D$13,1)="%",OTDS!$D$13,OTDS!$D$13/100),$C11))</f>
        <v>0.05</v>
      </c>
      <c r="E11" s="3">
        <f t="shared" si="1"/>
        <v>9087677000</v>
      </c>
      <c r="F11" s="3">
        <f t="shared" si="1"/>
        <v>12203679000</v>
      </c>
      <c r="G11" s="3">
        <f t="shared" si="1"/>
        <v>12464531500</v>
      </c>
      <c r="H11" s="3">
        <f t="shared" si="1"/>
        <v>11352037500</v>
      </c>
      <c r="I11" s="3">
        <f t="shared" si="1"/>
        <v>13798427500</v>
      </c>
      <c r="J11" s="3">
        <f t="shared" si="1"/>
        <v>15204446500</v>
      </c>
      <c r="K11" s="3">
        <f t="shared" si="1"/>
        <v>15784004000</v>
      </c>
      <c r="L11" s="3">
        <f t="shared" si="1"/>
        <v>15554214500</v>
      </c>
      <c r="M11" s="3">
        <f t="shared" si="1"/>
        <v>16020840935</v>
      </c>
      <c r="N11" s="3">
        <f t="shared" si="1"/>
        <v>16501466163.050001</v>
      </c>
      <c r="O11" s="3">
        <f t="shared" si="2"/>
        <v>16996510147.941502</v>
      </c>
      <c r="P11" s="3">
        <f t="shared" si="2"/>
        <v>17506405452.379745</v>
      </c>
      <c r="Q11" s="3">
        <f t="shared" si="2"/>
        <v>18031597615.951138</v>
      </c>
      <c r="R11" s="3">
        <f t="shared" si="2"/>
        <v>18572545544.429672</v>
      </c>
      <c r="S11" s="3">
        <f t="shared" si="2"/>
        <v>19129721910.762562</v>
      </c>
      <c r="T11" s="3">
        <f t="shared" si="2"/>
        <v>19703613568.085438</v>
      </c>
      <c r="U11" s="3">
        <f t="shared" si="2"/>
        <v>20294721975.128002</v>
      </c>
      <c r="V11" s="3">
        <f t="shared" si="2"/>
        <v>20903563634.38184</v>
      </c>
      <c r="W11" s="3">
        <f t="shared" si="2"/>
        <v>21530670543.413296</v>
      </c>
      <c r="X11" s="3">
        <f t="shared" si="2"/>
        <v>22176590659.715694</v>
      </c>
      <c r="Y11" s="3">
        <f t="shared" si="2"/>
        <v>22841888379.507164</v>
      </c>
      <c r="Z11" s="3">
        <f t="shared" si="2"/>
        <v>23527145030.89238</v>
      </c>
      <c r="AA11" s="3">
        <f t="shared" si="2"/>
        <v>24232959381.819149</v>
      </c>
      <c r="AB11" s="3">
        <f t="shared" si="2"/>
        <v>24959948163.273724</v>
      </c>
      <c r="AC11" s="3">
        <f t="shared" si="2"/>
        <v>25708746608.171936</v>
      </c>
    </row>
    <row r="12" spans="1:29" x14ac:dyDescent="0.25">
      <c r="A12" t="str">
        <f>IF('Custom Member Setup'!D3="","CUSTOM")</f>
        <v>CUSTOM</v>
      </c>
      <c r="B12" t="b">
        <f>IF('Custom Member Setup'!D7="Developed",IF(OTDS!B6=TRUE,TRUE,FALSE),IF('Custom Member Setup'!D7="Developing",IF(OTDS!B13=TRUE,TRUE,FALSE),FALSE))</f>
        <v>1</v>
      </c>
      <c r="C12" s="38">
        <f>'Custom Member Setup'!D4</f>
        <v>0.06</v>
      </c>
      <c r="D12" s="38">
        <f>IF(COUNTIF(Developed,$A12)=1,IF(OTDS!$C$6,$C12+IF(RIGHT(OTDS!$D$6,1)="%",OTDS!$D$6,OTDS!$D$6/100),$C12), IF(OTDS!$C$13,$C12+IF(RIGHT(OTDS!$D$13,1)="%",OTDS!$D$13,OTDS!$D$13/100),$C12))</f>
        <v>0.06</v>
      </c>
      <c r="E12" s="3" t="e">
        <f t="shared" si="1"/>
        <v>#N/A</v>
      </c>
      <c r="F12" s="3" t="e">
        <f t="shared" si="1"/>
        <v>#N/A</v>
      </c>
      <c r="G12" s="3" t="e">
        <f t="shared" si="1"/>
        <v>#N/A</v>
      </c>
      <c r="H12" s="3" t="e">
        <f t="shared" si="1"/>
        <v>#N/A</v>
      </c>
      <c r="I12" s="3" t="e">
        <f t="shared" si="1"/>
        <v>#N/A</v>
      </c>
      <c r="J12" s="3" t="e">
        <f t="shared" si="1"/>
        <v>#N/A</v>
      </c>
      <c r="K12" s="3" t="e">
        <f t="shared" si="1"/>
        <v>#N/A</v>
      </c>
      <c r="L12" s="3" t="e">
        <f t="shared" si="1"/>
        <v>#N/A</v>
      </c>
      <c r="M12" s="3" t="e">
        <f t="shared" si="1"/>
        <v>#N/A</v>
      </c>
      <c r="N12" s="3" t="e">
        <f t="shared" si="1"/>
        <v>#N/A</v>
      </c>
      <c r="O12" s="3" t="e">
        <f t="shared" si="2"/>
        <v>#N/A</v>
      </c>
      <c r="P12" s="3" t="e">
        <f t="shared" si="2"/>
        <v>#N/A</v>
      </c>
      <c r="Q12" s="3" t="e">
        <f t="shared" si="2"/>
        <v>#N/A</v>
      </c>
      <c r="R12" s="3" t="e">
        <f t="shared" si="2"/>
        <v>#N/A</v>
      </c>
      <c r="S12" s="3" t="e">
        <f t="shared" si="2"/>
        <v>#N/A</v>
      </c>
      <c r="T12" s="3" t="e">
        <f t="shared" si="2"/>
        <v>#N/A</v>
      </c>
      <c r="U12" s="3" t="e">
        <f t="shared" si="2"/>
        <v>#N/A</v>
      </c>
      <c r="V12" s="3" t="e">
        <f t="shared" si="2"/>
        <v>#N/A</v>
      </c>
      <c r="W12" s="3" t="e">
        <f t="shared" si="2"/>
        <v>#N/A</v>
      </c>
      <c r="X12" s="3" t="e">
        <f t="shared" si="2"/>
        <v>#N/A</v>
      </c>
      <c r="Y12" s="3" t="e">
        <f t="shared" si="2"/>
        <v>#N/A</v>
      </c>
      <c r="Z12" s="3" t="e">
        <f t="shared" si="2"/>
        <v>#N/A</v>
      </c>
      <c r="AA12" s="3" t="e">
        <f t="shared" si="2"/>
        <v>#N/A</v>
      </c>
      <c r="AB12" s="3" t="e">
        <f t="shared" si="2"/>
        <v>#N/A</v>
      </c>
      <c r="AC12" s="3" t="e">
        <f t="shared" si="2"/>
        <v>#N/A</v>
      </c>
    </row>
    <row r="13" spans="1:29" x14ac:dyDescent="0.25">
      <c r="C13" s="38"/>
      <c r="D13" s="38"/>
      <c r="E13" s="3"/>
      <c r="F13" s="3"/>
      <c r="G13" s="3"/>
      <c r="H13" s="3"/>
      <c r="I13" s="3"/>
      <c r="J13" s="3"/>
      <c r="K13" s="3"/>
      <c r="L13" s="3"/>
      <c r="M13" s="3"/>
      <c r="N13" s="3"/>
      <c r="O13" s="3"/>
      <c r="P13" s="3"/>
      <c r="Q13" s="3"/>
      <c r="R13" s="3"/>
      <c r="S13" s="3"/>
      <c r="T13" s="3"/>
      <c r="U13" s="3"/>
      <c r="V13" s="3"/>
      <c r="W13" s="3"/>
      <c r="X13" s="3"/>
      <c r="Y13" s="3"/>
      <c r="Z13" s="3"/>
      <c r="AA13" s="3"/>
      <c r="AB13" s="3"/>
      <c r="AC13" s="3"/>
    </row>
    <row r="14" spans="1:29" x14ac:dyDescent="0.25">
      <c r="A14" s="203" t="s">
        <v>437</v>
      </c>
      <c r="B14" s="203"/>
      <c r="C14" s="203"/>
    </row>
    <row r="15" spans="1:29" x14ac:dyDescent="0.25">
      <c r="A15" t="s">
        <v>161</v>
      </c>
      <c r="B15" t="s">
        <v>431</v>
      </c>
      <c r="C15" t="s">
        <v>441</v>
      </c>
      <c r="D15" t="s">
        <v>443</v>
      </c>
      <c r="E15">
        <v>2006</v>
      </c>
      <c r="F15">
        <v>2007</v>
      </c>
      <c r="G15">
        <v>2008</v>
      </c>
      <c r="H15">
        <v>2009</v>
      </c>
      <c r="I15">
        <v>2010</v>
      </c>
      <c r="J15">
        <v>2011</v>
      </c>
      <c r="K15">
        <v>2012</v>
      </c>
      <c r="L15">
        <v>2013</v>
      </c>
      <c r="M15">
        <v>2014</v>
      </c>
      <c r="N15">
        <v>2015</v>
      </c>
      <c r="O15">
        <v>2016</v>
      </c>
      <c r="P15">
        <v>2017</v>
      </c>
      <c r="Q15">
        <v>2018</v>
      </c>
      <c r="R15">
        <v>2019</v>
      </c>
      <c r="S15">
        <v>2020</v>
      </c>
      <c r="T15">
        <v>2021</v>
      </c>
      <c r="U15">
        <v>2022</v>
      </c>
      <c r="V15">
        <v>2023</v>
      </c>
      <c r="W15">
        <v>2024</v>
      </c>
      <c r="X15">
        <v>2025</v>
      </c>
      <c r="Y15">
        <v>2026</v>
      </c>
      <c r="Z15">
        <v>2027</v>
      </c>
      <c r="AA15">
        <v>2028</v>
      </c>
      <c r="AB15">
        <v>2029</v>
      </c>
      <c r="AC15">
        <v>2030</v>
      </c>
    </row>
    <row r="16" spans="1:29" x14ac:dyDescent="0.25">
      <c r="A16" t="str">
        <f>A3</f>
        <v>Australia</v>
      </c>
      <c r="B16" t="b">
        <f>IF(COUNTIF(Developed,$A16)=0,OTDS!$E$13,OTDS!$E$6)</f>
        <v>1</v>
      </c>
      <c r="C16" s="38">
        <f t="shared" ref="C16:C24" si="3">VLOOKUP($A16,Member_Limits,4,FALSE)</f>
        <v>0.05</v>
      </c>
      <c r="D16" s="38">
        <f>IF(COUNTIF(Developed,$A16)=1,IF(OTDS!$F$6,$C16+IF(RIGHT(OTDS!$G$6,1)="%",OTDS!$G$6,OTDS!$G$6/100),$C16), IF(OTDS!$F$13,$C16+IF(RIGHT(OTDS!$G$13,1)="%",OTDS!$G$13,OTDS!$G$13/100),$C16))</f>
        <v>0.05</v>
      </c>
      <c r="E16" s="3">
        <f t="shared" ref="E16:N25" si="4">IF($B16=FALSE,0,VLOOKUP($A16,VoP_OTDS,E$2-2003,FALSE)*$D16)</f>
        <v>1095742000</v>
      </c>
      <c r="F16" s="3">
        <f t="shared" si="4"/>
        <v>1399881500</v>
      </c>
      <c r="G16" s="3">
        <f t="shared" si="4"/>
        <v>1732731000</v>
      </c>
      <c r="H16" s="3">
        <f t="shared" si="4"/>
        <v>1485823500</v>
      </c>
      <c r="I16" s="3">
        <f t="shared" si="4"/>
        <v>1584162000</v>
      </c>
      <c r="J16" s="3">
        <f t="shared" si="4"/>
        <v>2068544500</v>
      </c>
      <c r="K16" s="3">
        <f t="shared" si="4"/>
        <v>2131347500</v>
      </c>
      <c r="L16" s="3">
        <f t="shared" si="4"/>
        <v>2051371500</v>
      </c>
      <c r="M16" s="3">
        <f t="shared" si="4"/>
        <v>2112912645</v>
      </c>
      <c r="N16" s="3">
        <f t="shared" si="4"/>
        <v>2176300024.3499999</v>
      </c>
      <c r="O16" s="3">
        <f t="shared" ref="O16:AC25" si="5">IF($B16=FALSE,0,VLOOKUP($A16,VoP_OTDS,O$2-2003,FALSE)*$D16)</f>
        <v>2241589025.0805001</v>
      </c>
      <c r="P16" s="3">
        <f t="shared" si="5"/>
        <v>2308836695.8329153</v>
      </c>
      <c r="Q16" s="3">
        <f t="shared" si="5"/>
        <v>2378101796.7079024</v>
      </c>
      <c r="R16" s="3">
        <f t="shared" si="5"/>
        <v>2449444850.6091399</v>
      </c>
      <c r="S16" s="3">
        <f t="shared" si="5"/>
        <v>2522928196.1274142</v>
      </c>
      <c r="T16" s="3">
        <f t="shared" si="5"/>
        <v>2598616042.0112362</v>
      </c>
      <c r="U16" s="3">
        <f t="shared" si="5"/>
        <v>2676574523.2715735</v>
      </c>
      <c r="V16" s="3">
        <f t="shared" si="5"/>
        <v>2756871758.9697208</v>
      </c>
      <c r="W16" s="3">
        <f t="shared" si="5"/>
        <v>2839577911.7388124</v>
      </c>
      <c r="X16" s="3">
        <f t="shared" si="5"/>
        <v>2924765249.0909767</v>
      </c>
      <c r="Y16" s="3">
        <f t="shared" si="5"/>
        <v>3012508206.5637064</v>
      </c>
      <c r="Z16" s="3">
        <f t="shared" si="5"/>
        <v>3102883452.7606177</v>
      </c>
      <c r="AA16" s="3">
        <f t="shared" si="5"/>
        <v>3195969956.3434362</v>
      </c>
      <c r="AB16" s="3">
        <f t="shared" si="5"/>
        <v>3291849055.0337391</v>
      </c>
      <c r="AC16" s="3">
        <f t="shared" si="5"/>
        <v>3390604526.6847515</v>
      </c>
    </row>
    <row r="17" spans="1:29" x14ac:dyDescent="0.25">
      <c r="A17" t="str">
        <f t="shared" ref="A17:A25" si="6">A4</f>
        <v>Brazil</v>
      </c>
      <c r="B17" t="b">
        <f>IF(COUNTIF(Developed,$A17)=0,OTDS!$E$13,OTDS!$E$6)</f>
        <v>1</v>
      </c>
      <c r="C17" s="38">
        <f t="shared" si="3"/>
        <v>0.1</v>
      </c>
      <c r="D17" s="38">
        <f>IF(COUNTIF(Developed,$A17)=1,IF(OTDS!$F$6,$C17+IF(RIGHT(OTDS!$G$6,1)="%",OTDS!$G$6,OTDS!$G$6/100),$C17), IF(OTDS!$F$13,$C17+IF(RIGHT(OTDS!$G$13,1)="%",OTDS!$G$13,OTDS!$G$13/100),$C17))</f>
        <v>0.1</v>
      </c>
      <c r="E17" s="3">
        <f t="shared" si="4"/>
        <v>7714544000</v>
      </c>
      <c r="F17" s="3">
        <f t="shared" si="4"/>
        <v>10899030000</v>
      </c>
      <c r="G17" s="3">
        <f t="shared" si="4"/>
        <v>14573993000</v>
      </c>
      <c r="H17" s="3">
        <f t="shared" si="4"/>
        <v>13349177000</v>
      </c>
      <c r="I17" s="3">
        <f t="shared" si="4"/>
        <v>16254733000</v>
      </c>
      <c r="J17" s="3">
        <f t="shared" si="4"/>
        <v>20921522000</v>
      </c>
      <c r="K17" s="3">
        <f t="shared" si="4"/>
        <v>20226095000</v>
      </c>
      <c r="L17" s="3">
        <f t="shared" si="4"/>
        <v>21940156000</v>
      </c>
      <c r="M17" s="3">
        <f t="shared" si="4"/>
        <v>22598360680</v>
      </c>
      <c r="N17" s="3">
        <f t="shared" si="4"/>
        <v>23276311500.400002</v>
      </c>
      <c r="O17" s="3">
        <f t="shared" si="5"/>
        <v>23974600845.412003</v>
      </c>
      <c r="P17" s="3">
        <f t="shared" si="5"/>
        <v>24693838870.774361</v>
      </c>
      <c r="Q17" s="3">
        <f t="shared" si="5"/>
        <v>25434654036.897591</v>
      </c>
      <c r="R17" s="3">
        <f t="shared" si="5"/>
        <v>26197693658.004517</v>
      </c>
      <c r="S17" s="3">
        <f t="shared" si="5"/>
        <v>26983624467.744656</v>
      </c>
      <c r="T17" s="3">
        <f t="shared" si="5"/>
        <v>27793133201.776997</v>
      </c>
      <c r="U17" s="3">
        <f t="shared" si="5"/>
        <v>28626927197.830307</v>
      </c>
      <c r="V17" s="3">
        <f t="shared" si="5"/>
        <v>29485735013.765213</v>
      </c>
      <c r="W17" s="3">
        <f t="shared" si="5"/>
        <v>30370307064.178169</v>
      </c>
      <c r="X17" s="3">
        <f t="shared" si="5"/>
        <v>31281416276.103516</v>
      </c>
      <c r="Y17" s="3">
        <f t="shared" si="5"/>
        <v>32219858764.386623</v>
      </c>
      <c r="Z17" s="3">
        <f t="shared" si="5"/>
        <v>33186454527.318222</v>
      </c>
      <c r="AA17" s="3">
        <f t="shared" si="5"/>
        <v>34182048163.137772</v>
      </c>
      <c r="AB17" s="3">
        <f t="shared" si="5"/>
        <v>35207509608.031906</v>
      </c>
      <c r="AC17" s="3">
        <f t="shared" si="5"/>
        <v>36263734896.272858</v>
      </c>
    </row>
    <row r="18" spans="1:29" x14ac:dyDescent="0.25">
      <c r="A18" t="str">
        <f t="shared" si="6"/>
        <v>Canada</v>
      </c>
      <c r="B18" t="b">
        <f>IF(COUNTIF(Developed,$A18)=0,OTDS!$E$13,OTDS!$E$6)</f>
        <v>1</v>
      </c>
      <c r="C18" s="38">
        <f t="shared" si="3"/>
        <v>0.05</v>
      </c>
      <c r="D18" s="38">
        <f>IF(COUNTIF(Developed,$A18)=1,IF(OTDS!$F$6,$C18+IF(RIGHT(OTDS!$G$6,1)="%",OTDS!$G$6,OTDS!$G$6/100),$C18), IF(OTDS!$F$13,$C18+IF(RIGHT(OTDS!$G$13,1)="%",OTDS!$G$13,OTDS!$G$13/100),$C18))</f>
        <v>0.05</v>
      </c>
      <c r="E18" s="3">
        <f t="shared" si="4"/>
        <v>855743000</v>
      </c>
      <c r="F18" s="3">
        <f t="shared" si="4"/>
        <v>1094574000</v>
      </c>
      <c r="G18" s="3">
        <f t="shared" si="4"/>
        <v>1598968500</v>
      </c>
      <c r="H18" s="3">
        <f t="shared" si="4"/>
        <v>1289153000</v>
      </c>
      <c r="I18" s="3">
        <f t="shared" si="4"/>
        <v>1308376000</v>
      </c>
      <c r="J18" s="3">
        <f t="shared" si="4"/>
        <v>1627822500</v>
      </c>
      <c r="K18" s="3">
        <f t="shared" si="4"/>
        <v>1863623000</v>
      </c>
      <c r="L18" s="3">
        <f t="shared" si="4"/>
        <v>2055614000</v>
      </c>
      <c r="M18" s="3">
        <f t="shared" si="4"/>
        <v>2117282420</v>
      </c>
      <c r="N18" s="3">
        <f t="shared" si="4"/>
        <v>2180800892.5999999</v>
      </c>
      <c r="O18" s="3">
        <f t="shared" si="5"/>
        <v>2246224919.3779998</v>
      </c>
      <c r="P18" s="3">
        <f t="shared" si="5"/>
        <v>2313611666.9593401</v>
      </c>
      <c r="Q18" s="3">
        <f t="shared" si="5"/>
        <v>2383020016.9681201</v>
      </c>
      <c r="R18" s="3">
        <f t="shared" si="5"/>
        <v>2454510617.4771638</v>
      </c>
      <c r="S18" s="3">
        <f t="shared" si="5"/>
        <v>2528145936.0014787</v>
      </c>
      <c r="T18" s="3">
        <f t="shared" si="5"/>
        <v>2603990314.0815229</v>
      </c>
      <c r="U18" s="3">
        <f t="shared" si="5"/>
        <v>2682110023.5039687</v>
      </c>
      <c r="V18" s="3">
        <f t="shared" si="5"/>
        <v>2762573324.2090874</v>
      </c>
      <c r="W18" s="3">
        <f t="shared" si="5"/>
        <v>2845450523.93536</v>
      </c>
      <c r="X18" s="3">
        <f t="shared" si="5"/>
        <v>2930814039.6534209</v>
      </c>
      <c r="Y18" s="3">
        <f t="shared" si="5"/>
        <v>3018738460.8430233</v>
      </c>
      <c r="Z18" s="3">
        <f t="shared" si="5"/>
        <v>3109300614.668314</v>
      </c>
      <c r="AA18" s="3">
        <f t="shared" si="5"/>
        <v>3202579633.1083636</v>
      </c>
      <c r="AB18" s="3">
        <f t="shared" si="5"/>
        <v>3298657022.1016145</v>
      </c>
      <c r="AC18" s="3">
        <f t="shared" si="5"/>
        <v>3397616732.7646632</v>
      </c>
    </row>
    <row r="19" spans="1:29" x14ac:dyDescent="0.25">
      <c r="A19" t="str">
        <f t="shared" si="6"/>
        <v>China</v>
      </c>
      <c r="B19" t="b">
        <f>IF(COUNTIF(Developed,$A19)=0,OTDS!$E$13,OTDS!$E$6)</f>
        <v>1</v>
      </c>
      <c r="C19" s="38">
        <f t="shared" si="3"/>
        <v>8.5000000000000006E-2</v>
      </c>
      <c r="D19" s="38">
        <f>IF(COUNTIF(Developed,$A19)=1,IF(OTDS!$F$6,$C19+IF(RIGHT(OTDS!$G$6,1)="%",OTDS!$G$6,OTDS!$G$6/100),$C19), IF(OTDS!$F$13,$C19+IF(RIGHT(OTDS!$G$13,1)="%",OTDS!$G$13,OTDS!$G$13/100),$C19))</f>
        <v>8.5000000000000006E-2</v>
      </c>
      <c r="E19" s="3">
        <f t="shared" si="4"/>
        <v>43616804800</v>
      </c>
      <c r="F19" s="3">
        <f t="shared" si="4"/>
        <v>52227309900</v>
      </c>
      <c r="G19" s="3">
        <f t="shared" si="4"/>
        <v>65342992650.000008</v>
      </c>
      <c r="H19" s="3">
        <f t="shared" si="4"/>
        <v>65868287550.000008</v>
      </c>
      <c r="I19" s="3">
        <f t="shared" si="4"/>
        <v>75413310700</v>
      </c>
      <c r="J19" s="3">
        <f t="shared" si="4"/>
        <v>97976287850</v>
      </c>
      <c r="K19" s="3">
        <f t="shared" si="4"/>
        <v>104525931400</v>
      </c>
      <c r="L19" s="3">
        <f t="shared" si="4"/>
        <v>109190951550.00002</v>
      </c>
      <c r="M19" s="3">
        <f t="shared" si="4"/>
        <v>112466680096.50002</v>
      </c>
      <c r="N19" s="3">
        <f t="shared" si="4"/>
        <v>115840680499.395</v>
      </c>
      <c r="O19" s="3">
        <f t="shared" si="5"/>
        <v>119315900914.37686</v>
      </c>
      <c r="P19" s="3">
        <f t="shared" si="5"/>
        <v>122895377941.80818</v>
      </c>
      <c r="Q19" s="3">
        <f t="shared" si="5"/>
        <v>126582239280.06242</v>
      </c>
      <c r="R19" s="3">
        <f t="shared" si="5"/>
        <v>130379706458.46429</v>
      </c>
      <c r="S19" s="3">
        <f t="shared" si="5"/>
        <v>134291097652.21822</v>
      </c>
      <c r="T19" s="3">
        <f t="shared" si="5"/>
        <v>138319830581.78476</v>
      </c>
      <c r="U19" s="3">
        <f t="shared" si="5"/>
        <v>142469425499.23831</v>
      </c>
      <c r="V19" s="3">
        <f t="shared" si="5"/>
        <v>146743508264.21548</v>
      </c>
      <c r="W19" s="3">
        <f t="shared" si="5"/>
        <v>151145813512.14194</v>
      </c>
      <c r="X19" s="3">
        <f t="shared" si="5"/>
        <v>155680187917.5062</v>
      </c>
      <c r="Y19" s="3">
        <f t="shared" si="5"/>
        <v>160350593555.03137</v>
      </c>
      <c r="Z19" s="3">
        <f t="shared" si="5"/>
        <v>165161111361.68231</v>
      </c>
      <c r="AA19" s="3">
        <f t="shared" si="5"/>
        <v>170115944702.53278</v>
      </c>
      <c r="AB19" s="3">
        <f t="shared" si="5"/>
        <v>175219423043.60876</v>
      </c>
      <c r="AC19" s="3">
        <f t="shared" si="5"/>
        <v>180476005734.91702</v>
      </c>
    </row>
    <row r="20" spans="1:29" x14ac:dyDescent="0.25">
      <c r="A20" t="str">
        <f t="shared" si="6"/>
        <v>European Union</v>
      </c>
      <c r="B20" t="b">
        <f>IF(COUNTIF(Developed,$A20)=0,OTDS!$E$13,OTDS!$E$6)</f>
        <v>1</v>
      </c>
      <c r="C20" s="38">
        <f t="shared" si="3"/>
        <v>0.05</v>
      </c>
      <c r="D20" s="38">
        <f>IF(COUNTIF(Developed,$A20)=1,IF(OTDS!$F$6,$C20+IF(RIGHT(OTDS!$G$6,1)="%",OTDS!$G$6,OTDS!$G$6/100),$C20), IF(OTDS!$F$13,$C20+IF(RIGHT(OTDS!$G$13,1)="%",OTDS!$G$13,OTDS!$G$13/100),$C20))</f>
        <v>0.05</v>
      </c>
      <c r="E20" s="3">
        <f t="shared" si="4"/>
        <v>15379231500</v>
      </c>
      <c r="F20" s="3">
        <f t="shared" si="4"/>
        <v>18509253000</v>
      </c>
      <c r="G20" s="3">
        <f t="shared" si="4"/>
        <v>20969514500</v>
      </c>
      <c r="H20" s="3">
        <f t="shared" si="4"/>
        <v>16948045500</v>
      </c>
      <c r="I20" s="3">
        <f t="shared" si="4"/>
        <v>17723566000</v>
      </c>
      <c r="J20" s="3">
        <f t="shared" si="4"/>
        <v>20662326000</v>
      </c>
      <c r="K20" s="3">
        <f t="shared" si="4"/>
        <v>19384422000</v>
      </c>
      <c r="L20" s="3">
        <f t="shared" si="4"/>
        <v>20672221500</v>
      </c>
      <c r="M20" s="3">
        <f t="shared" si="4"/>
        <v>21292388145</v>
      </c>
      <c r="N20" s="3">
        <f t="shared" si="4"/>
        <v>21931159789.350002</v>
      </c>
      <c r="O20" s="3">
        <f t="shared" si="5"/>
        <v>22589094583.030502</v>
      </c>
      <c r="P20" s="3">
        <f t="shared" si="5"/>
        <v>23266767420.521416</v>
      </c>
      <c r="Q20" s="3">
        <f t="shared" si="5"/>
        <v>23964770443.137058</v>
      </c>
      <c r="R20" s="3">
        <f t="shared" si="5"/>
        <v>24683713556.431171</v>
      </c>
      <c r="S20" s="3">
        <f t="shared" si="5"/>
        <v>25424224963.124107</v>
      </c>
      <c r="T20" s="3">
        <f t="shared" si="5"/>
        <v>26186951712.01783</v>
      </c>
      <c r="U20" s="3">
        <f t="shared" si="5"/>
        <v>26972560263.378365</v>
      </c>
      <c r="V20" s="3">
        <f t="shared" si="5"/>
        <v>27781737071.279713</v>
      </c>
      <c r="W20" s="3">
        <f t="shared" si="5"/>
        <v>28615189183.418106</v>
      </c>
      <c r="X20" s="3">
        <f t="shared" si="5"/>
        <v>29473644858.92065</v>
      </c>
      <c r="Y20" s="3">
        <f t="shared" si="5"/>
        <v>30357854204.688271</v>
      </c>
      <c r="Z20" s="3">
        <f t="shared" si="5"/>
        <v>31268589830.828918</v>
      </c>
      <c r="AA20" s="3">
        <f t="shared" si="5"/>
        <v>32206647525.753784</v>
      </c>
      <c r="AB20" s="3">
        <f t="shared" si="5"/>
        <v>33172846951.526398</v>
      </c>
      <c r="AC20" s="3">
        <f t="shared" si="5"/>
        <v>34168032360.072193</v>
      </c>
    </row>
    <row r="21" spans="1:29" x14ac:dyDescent="0.25">
      <c r="A21" t="str">
        <f t="shared" si="6"/>
        <v>India</v>
      </c>
      <c r="B21" t="b">
        <f>IF(COUNTIF(Developed,$A21)=0,OTDS!$E$13,OTDS!$E$6)</f>
        <v>1</v>
      </c>
      <c r="C21" s="38">
        <f t="shared" si="3"/>
        <v>0.1</v>
      </c>
      <c r="D21" s="38">
        <f>IF(COUNTIF(Developed,$A21)=1,IF(OTDS!$F$6,$C21+IF(RIGHT(OTDS!$G$6,1)="%",OTDS!$G$6,OTDS!$G$6/100),$C21), IF(OTDS!$F$13,$C21+IF(RIGHT(OTDS!$G$13,1)="%",OTDS!$G$13,OTDS!$G$13/100),$C21))</f>
        <v>0.1</v>
      </c>
      <c r="E21" s="3">
        <f t="shared" si="4"/>
        <v>15555851000</v>
      </c>
      <c r="F21" s="3">
        <f t="shared" si="4"/>
        <v>19963180000</v>
      </c>
      <c r="G21" s="3">
        <f t="shared" si="4"/>
        <v>21506171000</v>
      </c>
      <c r="H21" s="3">
        <f t="shared" si="4"/>
        <v>20689802000</v>
      </c>
      <c r="I21" s="3">
        <f t="shared" si="4"/>
        <v>23063089000</v>
      </c>
      <c r="J21" s="3">
        <f t="shared" si="4"/>
        <v>24736350000</v>
      </c>
      <c r="K21" s="3">
        <f t="shared" si="4"/>
        <v>23867235000</v>
      </c>
      <c r="L21" s="3">
        <f t="shared" si="4"/>
        <v>25678177000</v>
      </c>
      <c r="M21" s="3">
        <f t="shared" si="4"/>
        <v>26448522310</v>
      </c>
      <c r="N21" s="3">
        <f t="shared" si="4"/>
        <v>27241977979.300003</v>
      </c>
      <c r="O21" s="3">
        <f t="shared" si="5"/>
        <v>28059237318.679001</v>
      </c>
      <c r="P21" s="3">
        <f t="shared" si="5"/>
        <v>28901014438.239368</v>
      </c>
      <c r="Q21" s="3">
        <f t="shared" si="5"/>
        <v>29768044871.386551</v>
      </c>
      <c r="R21" s="3">
        <f t="shared" si="5"/>
        <v>30661086217.528145</v>
      </c>
      <c r="S21" s="3">
        <f t="shared" si="5"/>
        <v>31580918804.053986</v>
      </c>
      <c r="T21" s="3">
        <f t="shared" si="5"/>
        <v>32528346368.175606</v>
      </c>
      <c r="U21" s="3">
        <f t="shared" si="5"/>
        <v>33504196759.220875</v>
      </c>
      <c r="V21" s="3">
        <f t="shared" si="5"/>
        <v>34509322661.997498</v>
      </c>
      <c r="W21" s="3">
        <f t="shared" si="5"/>
        <v>35544602341.857422</v>
      </c>
      <c r="X21" s="3">
        <f t="shared" si="5"/>
        <v>36610940412.113152</v>
      </c>
      <c r="Y21" s="3">
        <f t="shared" si="5"/>
        <v>37709268624.476547</v>
      </c>
      <c r="Z21" s="3">
        <f t="shared" si="5"/>
        <v>38840546683.210838</v>
      </c>
      <c r="AA21" s="3">
        <f t="shared" si="5"/>
        <v>40005763083.707169</v>
      </c>
      <c r="AB21" s="3">
        <f t="shared" si="5"/>
        <v>41205935976.218384</v>
      </c>
      <c r="AC21" s="3">
        <f t="shared" si="5"/>
        <v>42442114055.504936</v>
      </c>
    </row>
    <row r="22" spans="1:29" x14ac:dyDescent="0.25">
      <c r="A22" t="str">
        <f t="shared" si="6"/>
        <v>Indonesia</v>
      </c>
      <c r="B22" t="b">
        <f>IF(COUNTIF(Developed,$A22)=0,OTDS!$E$13,OTDS!$E$6)</f>
        <v>1</v>
      </c>
      <c r="C22" s="38">
        <f t="shared" si="3"/>
        <v>0.1</v>
      </c>
      <c r="D22" s="38">
        <f>IF(COUNTIF(Developed,$A22)=1,IF(OTDS!$F$6,$C22+IF(RIGHT(OTDS!$G$6,1)="%",OTDS!$G$6,OTDS!$G$6/100),$C22), IF(OTDS!$F$13,$C22+IF(RIGHT(OTDS!$G$13,1)="%",OTDS!$G$13,OTDS!$G$13/100),$C22))</f>
        <v>0.1</v>
      </c>
      <c r="E22" s="3">
        <f t="shared" si="4"/>
        <v>4608225000</v>
      </c>
      <c r="F22" s="3">
        <f t="shared" si="4"/>
        <v>5492739000</v>
      </c>
      <c r="G22" s="3">
        <f t="shared" si="4"/>
        <v>6740651000</v>
      </c>
      <c r="H22" s="3">
        <f t="shared" si="4"/>
        <v>6779885000.000001</v>
      </c>
      <c r="I22" s="3">
        <f t="shared" si="4"/>
        <v>9245569000</v>
      </c>
      <c r="J22" s="3">
        <f t="shared" si="4"/>
        <v>14111587000</v>
      </c>
      <c r="K22" s="3">
        <f t="shared" si="4"/>
        <v>14429780000</v>
      </c>
      <c r="L22" s="3">
        <f t="shared" si="4"/>
        <v>12604684000</v>
      </c>
      <c r="M22" s="3">
        <f t="shared" si="4"/>
        <v>12982824520</v>
      </c>
      <c r="N22" s="3">
        <f t="shared" si="4"/>
        <v>13372309255.6</v>
      </c>
      <c r="O22" s="3">
        <f t="shared" si="5"/>
        <v>13773478533.268</v>
      </c>
      <c r="P22" s="3">
        <f t="shared" si="5"/>
        <v>14186682889.266041</v>
      </c>
      <c r="Q22" s="3">
        <f t="shared" si="5"/>
        <v>14612283375.944023</v>
      </c>
      <c r="R22" s="3">
        <f t="shared" si="5"/>
        <v>15050651877.222343</v>
      </c>
      <c r="S22" s="3">
        <f t="shared" si="5"/>
        <v>15502171433.539015</v>
      </c>
      <c r="T22" s="3">
        <f t="shared" si="5"/>
        <v>15967236576.545185</v>
      </c>
      <c r="U22" s="3">
        <f t="shared" si="5"/>
        <v>16446253673.841541</v>
      </c>
      <c r="V22" s="3">
        <f t="shared" si="5"/>
        <v>16939641284.056787</v>
      </c>
      <c r="W22" s="3">
        <f t="shared" si="5"/>
        <v>17447830522.578491</v>
      </c>
      <c r="X22" s="3">
        <f t="shared" si="5"/>
        <v>17971265438.255848</v>
      </c>
      <c r="Y22" s="3">
        <f t="shared" si="5"/>
        <v>18510403401.403522</v>
      </c>
      <c r="Z22" s="3">
        <f t="shared" si="5"/>
        <v>19065715503.445629</v>
      </c>
      <c r="AA22" s="3">
        <f t="shared" si="5"/>
        <v>19637686968.548996</v>
      </c>
      <c r="AB22" s="3">
        <f t="shared" si="5"/>
        <v>20226817577.605465</v>
      </c>
      <c r="AC22" s="3">
        <f t="shared" si="5"/>
        <v>20833622104.933632</v>
      </c>
    </row>
    <row r="23" spans="1:29" x14ac:dyDescent="0.25">
      <c r="A23" t="str">
        <f t="shared" si="6"/>
        <v>Japan</v>
      </c>
      <c r="B23" t="b">
        <f>IF(COUNTIF(Developed,$A23)=0,OTDS!$E$13,OTDS!$E$6)</f>
        <v>1</v>
      </c>
      <c r="C23" s="38">
        <f t="shared" si="3"/>
        <v>0.05</v>
      </c>
      <c r="D23" s="38">
        <f>IF(COUNTIF(Developed,$A23)=1,IF(OTDS!$F$6,$C23+IF(RIGHT(OTDS!$G$6,1)="%",OTDS!$G$6,OTDS!$G$6/100),$C23), IF(OTDS!$F$13,$C23+IF(RIGHT(OTDS!$G$13,1)="%",OTDS!$G$13,OTDS!$G$13/100),$C23))</f>
        <v>0.05</v>
      </c>
      <c r="E23" s="3">
        <f t="shared" si="4"/>
        <v>3043207000</v>
      </c>
      <c r="F23" s="3">
        <f t="shared" si="4"/>
        <v>2921019000</v>
      </c>
      <c r="G23" s="3">
        <f t="shared" si="4"/>
        <v>3345279000</v>
      </c>
      <c r="H23" s="3">
        <f t="shared" si="4"/>
        <v>3586586000</v>
      </c>
      <c r="I23" s="3">
        <f t="shared" si="4"/>
        <v>3884684500</v>
      </c>
      <c r="J23" s="3">
        <f t="shared" si="4"/>
        <v>4097006500</v>
      </c>
      <c r="K23" s="3">
        <f t="shared" si="4"/>
        <v>4347004000</v>
      </c>
      <c r="L23" s="3">
        <f t="shared" si="4"/>
        <v>3557371500</v>
      </c>
      <c r="M23" s="3">
        <f t="shared" si="4"/>
        <v>3664092645</v>
      </c>
      <c r="N23" s="3">
        <f t="shared" si="4"/>
        <v>3774015424.3500004</v>
      </c>
      <c r="O23" s="3">
        <f t="shared" si="5"/>
        <v>3887235887.0805001</v>
      </c>
      <c r="P23" s="3">
        <f t="shared" si="5"/>
        <v>4003852963.6929154</v>
      </c>
      <c r="Q23" s="3">
        <f t="shared" si="5"/>
        <v>4123968552.6037025</v>
      </c>
      <c r="R23" s="3">
        <f t="shared" si="5"/>
        <v>4247687609.1818142</v>
      </c>
      <c r="S23" s="3">
        <f t="shared" si="5"/>
        <v>4375118237.4572687</v>
      </c>
      <c r="T23" s="3">
        <f t="shared" si="5"/>
        <v>4506371784.580987</v>
      </c>
      <c r="U23" s="3">
        <f t="shared" si="5"/>
        <v>4641562938.1184168</v>
      </c>
      <c r="V23" s="3">
        <f t="shared" si="5"/>
        <v>4780809826.2619696</v>
      </c>
      <c r="W23" s="3">
        <f t="shared" si="5"/>
        <v>4924234121.0498285</v>
      </c>
      <c r="X23" s="3">
        <f t="shared" si="5"/>
        <v>5071961144.6813231</v>
      </c>
      <c r="Y23" s="3">
        <f t="shared" si="5"/>
        <v>5224119979.0217628</v>
      </c>
      <c r="Z23" s="3">
        <f t="shared" si="5"/>
        <v>5380843578.392416</v>
      </c>
      <c r="AA23" s="3">
        <f t="shared" si="5"/>
        <v>5542268885.7441883</v>
      </c>
      <c r="AB23" s="3">
        <f t="shared" si="5"/>
        <v>5708536952.316514</v>
      </c>
      <c r="AC23" s="3">
        <f t="shared" si="5"/>
        <v>5879793060.8860092</v>
      </c>
    </row>
    <row r="24" spans="1:29" x14ac:dyDescent="0.25">
      <c r="A24" t="str">
        <f t="shared" si="6"/>
        <v>United States of America</v>
      </c>
      <c r="B24" t="b">
        <f>IF(COUNTIF(Developed,$A24)=0,OTDS!$E$13,OTDS!$E$6)</f>
        <v>1</v>
      </c>
      <c r="C24" s="38">
        <f t="shared" si="3"/>
        <v>0.05</v>
      </c>
      <c r="D24" s="38">
        <f>IF(COUNTIF(Developed,$A24)=1,IF(OTDS!$F$6,$C24+IF(RIGHT(OTDS!$G$6,1)="%",OTDS!$G$6,OTDS!$G$6/100),$C24), IF(OTDS!$F$13,$C24+IF(RIGHT(OTDS!$G$13,1)="%",OTDS!$G$13,OTDS!$G$13/100),$C24))</f>
        <v>0.05</v>
      </c>
      <c r="E24" s="3">
        <f t="shared" si="4"/>
        <v>9087677000</v>
      </c>
      <c r="F24" s="3">
        <f t="shared" si="4"/>
        <v>12203679000</v>
      </c>
      <c r="G24" s="3">
        <f t="shared" si="4"/>
        <v>12464531500</v>
      </c>
      <c r="H24" s="3">
        <f t="shared" si="4"/>
        <v>11352037500</v>
      </c>
      <c r="I24" s="3">
        <f t="shared" si="4"/>
        <v>13798427500</v>
      </c>
      <c r="J24" s="3">
        <f t="shared" si="4"/>
        <v>15204446500</v>
      </c>
      <c r="K24" s="3">
        <f t="shared" si="4"/>
        <v>15784004000</v>
      </c>
      <c r="L24" s="3">
        <f t="shared" si="4"/>
        <v>15554214500</v>
      </c>
      <c r="M24" s="3">
        <f t="shared" si="4"/>
        <v>16020840935</v>
      </c>
      <c r="N24" s="3">
        <f t="shared" si="4"/>
        <v>16501466163.050001</v>
      </c>
      <c r="O24" s="3">
        <f t="shared" si="5"/>
        <v>16996510147.941502</v>
      </c>
      <c r="P24" s="3">
        <f t="shared" si="5"/>
        <v>17506405452.379745</v>
      </c>
      <c r="Q24" s="3">
        <f t="shared" si="5"/>
        <v>18031597615.951138</v>
      </c>
      <c r="R24" s="3">
        <f t="shared" si="5"/>
        <v>18572545544.429672</v>
      </c>
      <c r="S24" s="3">
        <f t="shared" si="5"/>
        <v>19129721910.762562</v>
      </c>
      <c r="T24" s="3">
        <f t="shared" si="5"/>
        <v>19703613568.085438</v>
      </c>
      <c r="U24" s="3">
        <f t="shared" si="5"/>
        <v>20294721975.128002</v>
      </c>
      <c r="V24" s="3">
        <f t="shared" si="5"/>
        <v>20903563634.38184</v>
      </c>
      <c r="W24" s="3">
        <f t="shared" si="5"/>
        <v>21530670543.413296</v>
      </c>
      <c r="X24" s="3">
        <f t="shared" si="5"/>
        <v>22176590659.715694</v>
      </c>
      <c r="Y24" s="3">
        <f t="shared" si="5"/>
        <v>22841888379.507164</v>
      </c>
      <c r="Z24" s="3">
        <f t="shared" si="5"/>
        <v>23527145030.89238</v>
      </c>
      <c r="AA24" s="3">
        <f t="shared" si="5"/>
        <v>24232959381.819149</v>
      </c>
      <c r="AB24" s="3">
        <f t="shared" si="5"/>
        <v>24959948163.273724</v>
      </c>
      <c r="AC24" s="3">
        <f t="shared" si="5"/>
        <v>25708746608.171936</v>
      </c>
    </row>
    <row r="25" spans="1:29" x14ac:dyDescent="0.25">
      <c r="A25" t="str">
        <f t="shared" si="6"/>
        <v>CUSTOM</v>
      </c>
      <c r="B25" t="str">
        <f>IF('Custom Member Setup'!D7="Developed",IF(OTDS!E6="Yes","Yes","No"),IF('Custom Member Setup'!D7="Developing",IF(OTDS!E13="Yes","Yes","No"),"No"))</f>
        <v>No</v>
      </c>
      <c r="C25" s="38">
        <f>'Custom Member Setup'!D5</f>
        <v>0.04</v>
      </c>
      <c r="D25" s="38">
        <f>IF(COUNTIF(Developed,$A25)=1,IF(OTDS!$F$6,$C25+IF(RIGHT(OTDS!$G$6,1)="%",OTDS!$G$6,OTDS!$G$6/100),$C25), IF(OTDS!$F$13,$C25+IF(RIGHT(OTDS!$G$13,1)="%",OTDS!$G$13,OTDS!$G$13/100),$C25))</f>
        <v>0.04</v>
      </c>
      <c r="E25" s="3" t="e">
        <f t="shared" si="4"/>
        <v>#N/A</v>
      </c>
      <c r="F25" s="3" t="e">
        <f t="shared" si="4"/>
        <v>#N/A</v>
      </c>
      <c r="G25" s="3" t="e">
        <f t="shared" si="4"/>
        <v>#N/A</v>
      </c>
      <c r="H25" s="3" t="e">
        <f t="shared" si="4"/>
        <v>#N/A</v>
      </c>
      <c r="I25" s="3" t="e">
        <f t="shared" si="4"/>
        <v>#N/A</v>
      </c>
      <c r="J25" s="3" t="e">
        <f t="shared" si="4"/>
        <v>#N/A</v>
      </c>
      <c r="K25" s="3" t="e">
        <f t="shared" si="4"/>
        <v>#N/A</v>
      </c>
      <c r="L25" s="3" t="e">
        <f t="shared" si="4"/>
        <v>#N/A</v>
      </c>
      <c r="M25" s="3" t="e">
        <f t="shared" si="4"/>
        <v>#N/A</v>
      </c>
      <c r="N25" s="3" t="e">
        <f t="shared" si="4"/>
        <v>#N/A</v>
      </c>
      <c r="O25" s="3" t="e">
        <f t="shared" si="5"/>
        <v>#N/A</v>
      </c>
      <c r="P25" s="3" t="e">
        <f t="shared" si="5"/>
        <v>#N/A</v>
      </c>
      <c r="Q25" s="3" t="e">
        <f t="shared" si="5"/>
        <v>#N/A</v>
      </c>
      <c r="R25" s="3" t="e">
        <f t="shared" si="5"/>
        <v>#N/A</v>
      </c>
      <c r="S25" s="3" t="e">
        <f t="shared" si="5"/>
        <v>#N/A</v>
      </c>
      <c r="T25" s="3" t="e">
        <f t="shared" si="5"/>
        <v>#N/A</v>
      </c>
      <c r="U25" s="3" t="e">
        <f t="shared" si="5"/>
        <v>#N/A</v>
      </c>
      <c r="V25" s="3" t="e">
        <f t="shared" si="5"/>
        <v>#N/A</v>
      </c>
      <c r="W25" s="3" t="e">
        <f t="shared" si="5"/>
        <v>#N/A</v>
      </c>
      <c r="X25" s="3" t="e">
        <f t="shared" si="5"/>
        <v>#N/A</v>
      </c>
      <c r="Y25" s="3" t="e">
        <f t="shared" si="5"/>
        <v>#N/A</v>
      </c>
      <c r="Z25" s="3" t="e">
        <f t="shared" si="5"/>
        <v>#N/A</v>
      </c>
      <c r="AA25" s="3" t="e">
        <f t="shared" si="5"/>
        <v>#N/A</v>
      </c>
      <c r="AB25" s="3" t="e">
        <f t="shared" si="5"/>
        <v>#N/A</v>
      </c>
      <c r="AC25" s="3" t="e">
        <f t="shared" si="5"/>
        <v>#N/A</v>
      </c>
    </row>
    <row r="27" spans="1:29" x14ac:dyDescent="0.25">
      <c r="A27" s="203" t="s">
        <v>444</v>
      </c>
      <c r="B27" s="203"/>
      <c r="C27" s="203"/>
    </row>
    <row r="28" spans="1:29" x14ac:dyDescent="0.25">
      <c r="A28" t="s">
        <v>161</v>
      </c>
      <c r="B28">
        <v>2006</v>
      </c>
      <c r="C28">
        <v>2007</v>
      </c>
      <c r="D28">
        <v>2008</v>
      </c>
      <c r="E28">
        <v>2009</v>
      </c>
      <c r="F28">
        <v>2010</v>
      </c>
      <c r="G28">
        <v>2011</v>
      </c>
      <c r="H28">
        <v>2012</v>
      </c>
      <c r="I28">
        <v>2013</v>
      </c>
      <c r="J28">
        <v>2014</v>
      </c>
      <c r="K28">
        <v>2015</v>
      </c>
      <c r="L28">
        <v>2016</v>
      </c>
      <c r="M28">
        <v>2017</v>
      </c>
      <c r="N28">
        <v>2018</v>
      </c>
      <c r="O28">
        <v>2019</v>
      </c>
      <c r="P28">
        <v>2020</v>
      </c>
      <c r="Q28">
        <v>2021</v>
      </c>
      <c r="R28">
        <v>2022</v>
      </c>
      <c r="S28">
        <v>2023</v>
      </c>
      <c r="T28">
        <v>2024</v>
      </c>
      <c r="U28">
        <v>2025</v>
      </c>
      <c r="V28">
        <v>2026</v>
      </c>
      <c r="W28">
        <v>2027</v>
      </c>
      <c r="X28">
        <v>2028</v>
      </c>
      <c r="Y28">
        <v>2029</v>
      </c>
      <c r="Z28">
        <v>2030</v>
      </c>
    </row>
    <row r="29" spans="1:29" x14ac:dyDescent="0.25">
      <c r="A29" t="str">
        <f t="shared" ref="A29:A38" si="7">A16</f>
        <v>Australia</v>
      </c>
      <c r="B29" s="3">
        <f>E16+E3</f>
        <v>2191484000</v>
      </c>
      <c r="C29" s="3">
        <f t="shared" ref="C29:Z38" si="8">F16+F3</f>
        <v>2799763000</v>
      </c>
      <c r="D29" s="3">
        <f t="shared" si="8"/>
        <v>3465462000</v>
      </c>
      <c r="E29" s="3">
        <f t="shared" si="8"/>
        <v>2971647000</v>
      </c>
      <c r="F29" s="3">
        <f t="shared" si="8"/>
        <v>3168324000</v>
      </c>
      <c r="G29" s="3">
        <f t="shared" si="8"/>
        <v>4137089000</v>
      </c>
      <c r="H29" s="3">
        <f t="shared" si="8"/>
        <v>4262695000</v>
      </c>
      <c r="I29" s="3">
        <f t="shared" si="8"/>
        <v>4102743000</v>
      </c>
      <c r="J29" s="3">
        <f t="shared" si="8"/>
        <v>4225825290</v>
      </c>
      <c r="K29" s="3">
        <f t="shared" si="8"/>
        <v>4352600048.6999998</v>
      </c>
      <c r="L29" s="3">
        <f t="shared" si="8"/>
        <v>4483178050.1610003</v>
      </c>
      <c r="M29" s="3">
        <f t="shared" si="8"/>
        <v>4617673391.6658306</v>
      </c>
      <c r="N29" s="3">
        <f t="shared" si="8"/>
        <v>4756203593.4158049</v>
      </c>
      <c r="O29" s="3">
        <f t="shared" si="8"/>
        <v>4898889701.2182798</v>
      </c>
      <c r="P29" s="3">
        <f t="shared" si="8"/>
        <v>5045856392.2548285</v>
      </c>
      <c r="Q29" s="3">
        <f t="shared" si="8"/>
        <v>5197232084.0224724</v>
      </c>
      <c r="R29" s="3">
        <f t="shared" si="8"/>
        <v>5353149046.5431471</v>
      </c>
      <c r="S29" s="3">
        <f t="shared" si="8"/>
        <v>5513743517.9394417</v>
      </c>
      <c r="T29" s="3">
        <f t="shared" si="8"/>
        <v>5679155823.4776249</v>
      </c>
      <c r="U29" s="3">
        <f t="shared" si="8"/>
        <v>5849530498.1819534</v>
      </c>
      <c r="V29" s="3">
        <f t="shared" si="8"/>
        <v>6025016413.1274128</v>
      </c>
      <c r="W29" s="3">
        <f t="shared" si="8"/>
        <v>6205766905.5212355</v>
      </c>
      <c r="X29" s="3">
        <f t="shared" si="8"/>
        <v>6391939912.6868725</v>
      </c>
      <c r="Y29" s="3">
        <f t="shared" si="8"/>
        <v>6583698110.0674782</v>
      </c>
      <c r="Z29" s="3">
        <f t="shared" si="8"/>
        <v>6781209053.369503</v>
      </c>
    </row>
    <row r="30" spans="1:29" x14ac:dyDescent="0.25">
      <c r="A30" t="str">
        <f t="shared" si="7"/>
        <v>Brazil</v>
      </c>
      <c r="B30" s="3">
        <f t="shared" ref="B30:B38" si="9">E17+E4</f>
        <v>15429088000</v>
      </c>
      <c r="C30" s="3">
        <f t="shared" si="8"/>
        <v>21798060000</v>
      </c>
      <c r="D30" s="3">
        <f t="shared" si="8"/>
        <v>29147986000</v>
      </c>
      <c r="E30" s="3">
        <f t="shared" si="8"/>
        <v>26698354000</v>
      </c>
      <c r="F30" s="3">
        <f t="shared" si="8"/>
        <v>32509466000</v>
      </c>
      <c r="G30" s="3">
        <f t="shared" si="8"/>
        <v>41843044000</v>
      </c>
      <c r="H30" s="3">
        <f t="shared" si="8"/>
        <v>40452190000</v>
      </c>
      <c r="I30" s="3">
        <f t="shared" si="8"/>
        <v>43880312000</v>
      </c>
      <c r="J30" s="3">
        <f t="shared" si="8"/>
        <v>45196721360</v>
      </c>
      <c r="K30" s="3">
        <f t="shared" si="8"/>
        <v>46552623000.800003</v>
      </c>
      <c r="L30" s="3">
        <f t="shared" si="8"/>
        <v>47949201690.824005</v>
      </c>
      <c r="M30" s="3">
        <f t="shared" si="8"/>
        <v>49387677741.548721</v>
      </c>
      <c r="N30" s="3">
        <f t="shared" si="8"/>
        <v>50869308073.795181</v>
      </c>
      <c r="O30" s="3">
        <f t="shared" si="8"/>
        <v>52395387316.009033</v>
      </c>
      <c r="P30" s="3">
        <f t="shared" si="8"/>
        <v>53967248935.489311</v>
      </c>
      <c r="Q30" s="3">
        <f t="shared" si="8"/>
        <v>55586266403.553993</v>
      </c>
      <c r="R30" s="3">
        <f t="shared" si="8"/>
        <v>57253854395.660614</v>
      </c>
      <c r="S30" s="3">
        <f t="shared" si="8"/>
        <v>58971470027.530426</v>
      </c>
      <c r="T30" s="3">
        <f t="shared" si="8"/>
        <v>60740614128.356339</v>
      </c>
      <c r="U30" s="3">
        <f t="shared" si="8"/>
        <v>62562832552.207031</v>
      </c>
      <c r="V30" s="3">
        <f t="shared" si="8"/>
        <v>64439717528.773247</v>
      </c>
      <c r="W30" s="3">
        <f t="shared" si="8"/>
        <v>66372909054.636444</v>
      </c>
      <c r="X30" s="3">
        <f t="shared" si="8"/>
        <v>68364096326.275543</v>
      </c>
      <c r="Y30" s="3">
        <f t="shared" si="8"/>
        <v>70415019216.063812</v>
      </c>
      <c r="Z30" s="3">
        <f t="shared" si="8"/>
        <v>72527469792.545715</v>
      </c>
    </row>
    <row r="31" spans="1:29" x14ac:dyDescent="0.25">
      <c r="A31" t="str">
        <f t="shared" si="7"/>
        <v>Canada</v>
      </c>
      <c r="B31" s="3">
        <f t="shared" si="9"/>
        <v>1711486000</v>
      </c>
      <c r="C31" s="3">
        <f t="shared" si="8"/>
        <v>2189148000</v>
      </c>
      <c r="D31" s="3">
        <f t="shared" si="8"/>
        <v>3197937000</v>
      </c>
      <c r="E31" s="3">
        <f t="shared" si="8"/>
        <v>2578306000</v>
      </c>
      <c r="F31" s="3">
        <f t="shared" si="8"/>
        <v>2616752000</v>
      </c>
      <c r="G31" s="3">
        <f t="shared" si="8"/>
        <v>3255645000</v>
      </c>
      <c r="H31" s="3">
        <f t="shared" si="8"/>
        <v>3727246000</v>
      </c>
      <c r="I31" s="3">
        <f t="shared" si="8"/>
        <v>4111228000</v>
      </c>
      <c r="J31" s="3">
        <f t="shared" si="8"/>
        <v>4234564840</v>
      </c>
      <c r="K31" s="3">
        <f t="shared" si="8"/>
        <v>4361601785.1999998</v>
      </c>
      <c r="L31" s="3">
        <f t="shared" si="8"/>
        <v>4492449838.7559996</v>
      </c>
      <c r="M31" s="3">
        <f t="shared" si="8"/>
        <v>4627223333.9186802</v>
      </c>
      <c r="N31" s="3">
        <f t="shared" si="8"/>
        <v>4766040033.9362402</v>
      </c>
      <c r="O31" s="3">
        <f t="shared" si="8"/>
        <v>4909021234.9543276</v>
      </c>
      <c r="P31" s="3">
        <f t="shared" si="8"/>
        <v>5056291872.0029573</v>
      </c>
      <c r="Q31" s="3">
        <f t="shared" si="8"/>
        <v>5207980628.1630459</v>
      </c>
      <c r="R31" s="3">
        <f t="shared" si="8"/>
        <v>5364220047.0079374</v>
      </c>
      <c r="S31" s="3">
        <f t="shared" si="8"/>
        <v>5525146648.4181747</v>
      </c>
      <c r="T31" s="3">
        <f t="shared" si="8"/>
        <v>5690901047.8707199</v>
      </c>
      <c r="U31" s="3">
        <f t="shared" si="8"/>
        <v>5861628079.3068419</v>
      </c>
      <c r="V31" s="3">
        <f t="shared" si="8"/>
        <v>6037476921.6860466</v>
      </c>
      <c r="W31" s="3">
        <f t="shared" si="8"/>
        <v>6218601229.336628</v>
      </c>
      <c r="X31" s="3">
        <f t="shared" si="8"/>
        <v>6405159266.2167273</v>
      </c>
      <c r="Y31" s="3">
        <f t="shared" si="8"/>
        <v>6597314044.203229</v>
      </c>
      <c r="Z31" s="3">
        <f t="shared" si="8"/>
        <v>6795233465.5293264</v>
      </c>
    </row>
    <row r="32" spans="1:29" x14ac:dyDescent="0.25">
      <c r="A32" t="str">
        <f t="shared" si="7"/>
        <v>China</v>
      </c>
      <c r="B32" s="3">
        <f t="shared" si="9"/>
        <v>87233609600</v>
      </c>
      <c r="C32" s="3">
        <f t="shared" si="8"/>
        <v>104454619800</v>
      </c>
      <c r="D32" s="3">
        <f t="shared" si="8"/>
        <v>130685985300.00002</v>
      </c>
      <c r="E32" s="3">
        <f t="shared" si="8"/>
        <v>131736575100.00002</v>
      </c>
      <c r="F32" s="3">
        <f t="shared" si="8"/>
        <v>150826621400</v>
      </c>
      <c r="G32" s="3">
        <f t="shared" si="8"/>
        <v>195952575700</v>
      </c>
      <c r="H32" s="3">
        <f t="shared" si="8"/>
        <v>209051862800</v>
      </c>
      <c r="I32" s="3">
        <f t="shared" si="8"/>
        <v>218381903100.00003</v>
      </c>
      <c r="J32" s="3">
        <f t="shared" si="8"/>
        <v>224933360193.00003</v>
      </c>
      <c r="K32" s="3">
        <f t="shared" si="8"/>
        <v>231681360998.79001</v>
      </c>
      <c r="L32" s="3">
        <f t="shared" si="8"/>
        <v>238631801828.75372</v>
      </c>
      <c r="M32" s="3">
        <f t="shared" si="8"/>
        <v>245790755883.61636</v>
      </c>
      <c r="N32" s="3">
        <f t="shared" si="8"/>
        <v>253164478560.12485</v>
      </c>
      <c r="O32" s="3">
        <f t="shared" si="8"/>
        <v>260759412916.92859</v>
      </c>
      <c r="P32" s="3">
        <f t="shared" si="8"/>
        <v>268582195304.43643</v>
      </c>
      <c r="Q32" s="3">
        <f t="shared" si="8"/>
        <v>276639661163.56952</v>
      </c>
      <c r="R32" s="3">
        <f t="shared" si="8"/>
        <v>284938850998.47662</v>
      </c>
      <c r="S32" s="3">
        <f t="shared" si="8"/>
        <v>293487016528.43097</v>
      </c>
      <c r="T32" s="3">
        <f t="shared" si="8"/>
        <v>302291627024.28387</v>
      </c>
      <c r="U32" s="3">
        <f t="shared" si="8"/>
        <v>311360375835.01239</v>
      </c>
      <c r="V32" s="3">
        <f t="shared" si="8"/>
        <v>320701187110.06274</v>
      </c>
      <c r="W32" s="3">
        <f t="shared" si="8"/>
        <v>330322222723.36462</v>
      </c>
      <c r="X32" s="3">
        <f t="shared" si="8"/>
        <v>340231889405.06555</v>
      </c>
      <c r="Y32" s="3">
        <f t="shared" si="8"/>
        <v>350438846087.21753</v>
      </c>
      <c r="Z32" s="3">
        <f t="shared" si="8"/>
        <v>360952011469.83405</v>
      </c>
    </row>
    <row r="33" spans="1:26" x14ac:dyDescent="0.25">
      <c r="A33" t="str">
        <f t="shared" si="7"/>
        <v>European Union</v>
      </c>
      <c r="B33" s="3">
        <f t="shared" si="9"/>
        <v>30758463000</v>
      </c>
      <c r="C33" s="3">
        <f t="shared" si="8"/>
        <v>37018506000</v>
      </c>
      <c r="D33" s="3">
        <f t="shared" si="8"/>
        <v>41939029000</v>
      </c>
      <c r="E33" s="3">
        <f t="shared" si="8"/>
        <v>33896091000</v>
      </c>
      <c r="F33" s="3">
        <f t="shared" si="8"/>
        <v>35447132000</v>
      </c>
      <c r="G33" s="3">
        <f t="shared" si="8"/>
        <v>41324652000</v>
      </c>
      <c r="H33" s="3">
        <f t="shared" si="8"/>
        <v>38768844000</v>
      </c>
      <c r="I33" s="3">
        <f t="shared" si="8"/>
        <v>41344443000</v>
      </c>
      <c r="J33" s="3">
        <f t="shared" si="8"/>
        <v>42584776290</v>
      </c>
      <c r="K33" s="3">
        <f t="shared" si="8"/>
        <v>43862319578.700005</v>
      </c>
      <c r="L33" s="3">
        <f t="shared" si="8"/>
        <v>45178189166.061005</v>
      </c>
      <c r="M33" s="3">
        <f t="shared" si="8"/>
        <v>46533534841.042831</v>
      </c>
      <c r="N33" s="3">
        <f t="shared" si="8"/>
        <v>47929540886.274117</v>
      </c>
      <c r="O33" s="3">
        <f t="shared" si="8"/>
        <v>49367427112.862343</v>
      </c>
      <c r="P33" s="3">
        <f t="shared" si="8"/>
        <v>50848449926.248215</v>
      </c>
      <c r="Q33" s="3">
        <f t="shared" si="8"/>
        <v>52373903424.03566</v>
      </c>
      <c r="R33" s="3">
        <f t="shared" si="8"/>
        <v>53945120526.756729</v>
      </c>
      <c r="S33" s="3">
        <f t="shared" si="8"/>
        <v>55563474142.559425</v>
      </c>
      <c r="T33" s="3">
        <f t="shared" si="8"/>
        <v>57230378366.836212</v>
      </c>
      <c r="U33" s="3">
        <f t="shared" si="8"/>
        <v>58947289717.841301</v>
      </c>
      <c r="V33" s="3">
        <f t="shared" si="8"/>
        <v>60715708409.376541</v>
      </c>
      <c r="W33" s="3">
        <f t="shared" si="8"/>
        <v>62537179661.657837</v>
      </c>
      <c r="X33" s="3">
        <f t="shared" si="8"/>
        <v>64413295051.507568</v>
      </c>
      <c r="Y33" s="3">
        <f t="shared" si="8"/>
        <v>66345693903.052795</v>
      </c>
      <c r="Z33" s="3">
        <f t="shared" si="8"/>
        <v>68336064720.144386</v>
      </c>
    </row>
    <row r="34" spans="1:26" x14ac:dyDescent="0.25">
      <c r="A34" t="str">
        <f t="shared" si="7"/>
        <v>India</v>
      </c>
      <c r="B34" s="3">
        <f t="shared" si="9"/>
        <v>31111702000</v>
      </c>
      <c r="C34" s="3">
        <f t="shared" si="8"/>
        <v>39926360000</v>
      </c>
      <c r="D34" s="3">
        <f t="shared" si="8"/>
        <v>43012342000</v>
      </c>
      <c r="E34" s="3">
        <f t="shared" si="8"/>
        <v>41379604000</v>
      </c>
      <c r="F34" s="3">
        <f t="shared" si="8"/>
        <v>46126178000</v>
      </c>
      <c r="G34" s="3">
        <f t="shared" si="8"/>
        <v>49472700000</v>
      </c>
      <c r="H34" s="3">
        <f t="shared" si="8"/>
        <v>47734470000</v>
      </c>
      <c r="I34" s="3">
        <f t="shared" si="8"/>
        <v>51356354000</v>
      </c>
      <c r="J34" s="3">
        <f t="shared" si="8"/>
        <v>52897044620</v>
      </c>
      <c r="K34" s="3">
        <f t="shared" si="8"/>
        <v>54483955958.600006</v>
      </c>
      <c r="L34" s="3">
        <f t="shared" si="8"/>
        <v>56118474637.358002</v>
      </c>
      <c r="M34" s="3">
        <f t="shared" si="8"/>
        <v>57802028876.478737</v>
      </c>
      <c r="N34" s="3">
        <f t="shared" si="8"/>
        <v>59536089742.773102</v>
      </c>
      <c r="O34" s="3">
        <f t="shared" si="8"/>
        <v>61322172435.05629</v>
      </c>
      <c r="P34" s="3">
        <f t="shared" si="8"/>
        <v>63161837608.107971</v>
      </c>
      <c r="Q34" s="3">
        <f t="shared" si="8"/>
        <v>65056692736.351212</v>
      </c>
      <c r="R34" s="3">
        <f t="shared" si="8"/>
        <v>67008393518.44175</v>
      </c>
      <c r="S34" s="3">
        <f t="shared" si="8"/>
        <v>69018645323.994995</v>
      </c>
      <c r="T34" s="3">
        <f t="shared" si="8"/>
        <v>71089204683.714844</v>
      </c>
      <c r="U34" s="3">
        <f t="shared" si="8"/>
        <v>73221880824.226303</v>
      </c>
      <c r="V34" s="3">
        <f t="shared" si="8"/>
        <v>75418537248.953094</v>
      </c>
      <c r="W34" s="3">
        <f t="shared" si="8"/>
        <v>77681093366.421677</v>
      </c>
      <c r="X34" s="3">
        <f t="shared" si="8"/>
        <v>80011526167.414337</v>
      </c>
      <c r="Y34" s="3">
        <f t="shared" si="8"/>
        <v>82411871952.436768</v>
      </c>
      <c r="Z34" s="3">
        <f t="shared" si="8"/>
        <v>84884228111.009872</v>
      </c>
    </row>
    <row r="35" spans="1:26" x14ac:dyDescent="0.25">
      <c r="A35" t="str">
        <f t="shared" si="7"/>
        <v>Indonesia</v>
      </c>
      <c r="B35" s="3">
        <f t="shared" si="9"/>
        <v>9216450000</v>
      </c>
      <c r="C35" s="3">
        <f t="shared" si="8"/>
        <v>10985478000</v>
      </c>
      <c r="D35" s="3">
        <f t="shared" si="8"/>
        <v>13481302000</v>
      </c>
      <c r="E35" s="3">
        <f t="shared" si="8"/>
        <v>13559770000.000002</v>
      </c>
      <c r="F35" s="3">
        <f t="shared" si="8"/>
        <v>18491138000</v>
      </c>
      <c r="G35" s="3">
        <f t="shared" si="8"/>
        <v>28223174000</v>
      </c>
      <c r="H35" s="3">
        <f t="shared" si="8"/>
        <v>28859560000</v>
      </c>
      <c r="I35" s="3">
        <f t="shared" si="8"/>
        <v>25209368000</v>
      </c>
      <c r="J35" s="3">
        <f t="shared" si="8"/>
        <v>25965649040</v>
      </c>
      <c r="K35" s="3">
        <f t="shared" si="8"/>
        <v>26744618511.200001</v>
      </c>
      <c r="L35" s="3">
        <f t="shared" si="8"/>
        <v>27546957066.535999</v>
      </c>
      <c r="M35" s="3">
        <f t="shared" si="8"/>
        <v>28373365778.532082</v>
      </c>
      <c r="N35" s="3">
        <f t="shared" si="8"/>
        <v>29224566751.888046</v>
      </c>
      <c r="O35" s="3">
        <f t="shared" si="8"/>
        <v>30101303754.444687</v>
      </c>
      <c r="P35" s="3">
        <f t="shared" si="8"/>
        <v>31004342867.07803</v>
      </c>
      <c r="Q35" s="3">
        <f t="shared" si="8"/>
        <v>31934473153.09037</v>
      </c>
      <c r="R35" s="3">
        <f t="shared" si="8"/>
        <v>32892507347.683083</v>
      </c>
      <c r="S35" s="3">
        <f t="shared" si="8"/>
        <v>33879282568.113575</v>
      </c>
      <c r="T35" s="3">
        <f t="shared" si="8"/>
        <v>34895661045.156982</v>
      </c>
      <c r="U35" s="3">
        <f t="shared" si="8"/>
        <v>35942530876.511696</v>
      </c>
      <c r="V35" s="3">
        <f t="shared" si="8"/>
        <v>37020806802.807045</v>
      </c>
      <c r="W35" s="3">
        <f t="shared" si="8"/>
        <v>38131431006.891258</v>
      </c>
      <c r="X35" s="3">
        <f t="shared" si="8"/>
        <v>39275373937.097992</v>
      </c>
      <c r="Y35" s="3">
        <f t="shared" si="8"/>
        <v>40453635155.21093</v>
      </c>
      <c r="Z35" s="3">
        <f t="shared" si="8"/>
        <v>41667244209.867264</v>
      </c>
    </row>
    <row r="36" spans="1:26" x14ac:dyDescent="0.25">
      <c r="A36" t="str">
        <f t="shared" si="7"/>
        <v>Japan</v>
      </c>
      <c r="B36" s="3">
        <f t="shared" si="9"/>
        <v>6086414000</v>
      </c>
      <c r="C36" s="3">
        <f t="shared" si="8"/>
        <v>5842038000</v>
      </c>
      <c r="D36" s="3">
        <f t="shared" si="8"/>
        <v>6690558000</v>
      </c>
      <c r="E36" s="3">
        <f t="shared" si="8"/>
        <v>7173172000</v>
      </c>
      <c r="F36" s="3">
        <f t="shared" si="8"/>
        <v>7769369000</v>
      </c>
      <c r="G36" s="3">
        <f t="shared" si="8"/>
        <v>8194013000</v>
      </c>
      <c r="H36" s="3">
        <f t="shared" si="8"/>
        <v>8694008000</v>
      </c>
      <c r="I36" s="3">
        <f t="shared" si="8"/>
        <v>7114743000</v>
      </c>
      <c r="J36" s="3">
        <f t="shared" si="8"/>
        <v>7328185290</v>
      </c>
      <c r="K36" s="3">
        <f t="shared" si="8"/>
        <v>7548030848.7000008</v>
      </c>
      <c r="L36" s="3">
        <f t="shared" si="8"/>
        <v>7774471774.1610003</v>
      </c>
      <c r="M36" s="3">
        <f t="shared" si="8"/>
        <v>8007705927.3858309</v>
      </c>
      <c r="N36" s="3">
        <f t="shared" si="8"/>
        <v>8247937105.2074051</v>
      </c>
      <c r="O36" s="3">
        <f t="shared" si="8"/>
        <v>8495375218.3636284</v>
      </c>
      <c r="P36" s="3">
        <f t="shared" si="8"/>
        <v>8750236474.9145374</v>
      </c>
      <c r="Q36" s="3">
        <f t="shared" si="8"/>
        <v>9012743569.161974</v>
      </c>
      <c r="R36" s="3">
        <f t="shared" si="8"/>
        <v>9283125876.2368336</v>
      </c>
      <c r="S36" s="3">
        <f t="shared" si="8"/>
        <v>9561619652.5239391</v>
      </c>
      <c r="T36" s="3">
        <f t="shared" si="8"/>
        <v>9848468242.0996571</v>
      </c>
      <c r="U36" s="3">
        <f t="shared" si="8"/>
        <v>10143922289.362646</v>
      </c>
      <c r="V36" s="3">
        <f t="shared" si="8"/>
        <v>10448239958.043526</v>
      </c>
      <c r="W36" s="3">
        <f t="shared" si="8"/>
        <v>10761687156.784832</v>
      </c>
      <c r="X36" s="3">
        <f t="shared" si="8"/>
        <v>11084537771.488377</v>
      </c>
      <c r="Y36" s="3">
        <f t="shared" si="8"/>
        <v>11417073904.633028</v>
      </c>
      <c r="Z36" s="3">
        <f t="shared" si="8"/>
        <v>11759586121.772018</v>
      </c>
    </row>
    <row r="37" spans="1:26" x14ac:dyDescent="0.25">
      <c r="A37" t="str">
        <f t="shared" si="7"/>
        <v>United States of America</v>
      </c>
      <c r="B37" s="3">
        <f t="shared" si="9"/>
        <v>18175354000</v>
      </c>
      <c r="C37" s="3">
        <f t="shared" si="8"/>
        <v>24407358000</v>
      </c>
      <c r="D37" s="3">
        <f t="shared" si="8"/>
        <v>24929063000</v>
      </c>
      <c r="E37" s="3">
        <f t="shared" si="8"/>
        <v>22704075000</v>
      </c>
      <c r="F37" s="3">
        <f t="shared" si="8"/>
        <v>27596855000</v>
      </c>
      <c r="G37" s="3">
        <f t="shared" si="8"/>
        <v>30408893000</v>
      </c>
      <c r="H37" s="3">
        <f t="shared" si="8"/>
        <v>31568008000</v>
      </c>
      <c r="I37" s="3">
        <f t="shared" si="8"/>
        <v>31108429000</v>
      </c>
      <c r="J37" s="3">
        <f t="shared" si="8"/>
        <v>32041681870</v>
      </c>
      <c r="K37" s="3">
        <f t="shared" si="8"/>
        <v>33002932326.100002</v>
      </c>
      <c r="L37" s="3">
        <f t="shared" si="8"/>
        <v>33993020295.883003</v>
      </c>
      <c r="M37" s="3">
        <f t="shared" si="8"/>
        <v>35012810904.759491</v>
      </c>
      <c r="N37" s="3">
        <f t="shared" si="8"/>
        <v>36063195231.902275</v>
      </c>
      <c r="O37" s="3">
        <f t="shared" si="8"/>
        <v>37145091088.859344</v>
      </c>
      <c r="P37" s="3">
        <f t="shared" si="8"/>
        <v>38259443821.525124</v>
      </c>
      <c r="Q37" s="3">
        <f t="shared" si="8"/>
        <v>39407227136.170876</v>
      </c>
      <c r="R37" s="3">
        <f t="shared" si="8"/>
        <v>40589443950.256004</v>
      </c>
      <c r="S37" s="3">
        <f t="shared" si="8"/>
        <v>41807127268.76368</v>
      </c>
      <c r="T37" s="3">
        <f t="shared" si="8"/>
        <v>43061341086.826591</v>
      </c>
      <c r="U37" s="3">
        <f t="shared" si="8"/>
        <v>44353181319.431389</v>
      </c>
      <c r="V37" s="3">
        <f t="shared" si="8"/>
        <v>45683776759.014328</v>
      </c>
      <c r="W37" s="3">
        <f t="shared" si="8"/>
        <v>47054290061.78476</v>
      </c>
      <c r="X37" s="3">
        <f t="shared" si="8"/>
        <v>48465918763.638298</v>
      </c>
      <c r="Y37" s="3">
        <f t="shared" si="8"/>
        <v>49919896326.547447</v>
      </c>
      <c r="Z37" s="3">
        <f t="shared" si="8"/>
        <v>51417493216.343872</v>
      </c>
    </row>
    <row r="38" spans="1:26" x14ac:dyDescent="0.25">
      <c r="A38" t="str">
        <f t="shared" si="7"/>
        <v>CUSTOM</v>
      </c>
      <c r="B38" s="3" t="e">
        <f t="shared" si="9"/>
        <v>#N/A</v>
      </c>
      <c r="C38" s="3" t="e">
        <f t="shared" si="8"/>
        <v>#N/A</v>
      </c>
      <c r="D38" s="3" t="e">
        <f t="shared" si="8"/>
        <v>#N/A</v>
      </c>
      <c r="E38" s="3" t="e">
        <f t="shared" si="8"/>
        <v>#N/A</v>
      </c>
      <c r="F38" s="3" t="e">
        <f t="shared" si="8"/>
        <v>#N/A</v>
      </c>
      <c r="G38" s="3" t="e">
        <f t="shared" si="8"/>
        <v>#N/A</v>
      </c>
      <c r="H38" s="3" t="e">
        <f t="shared" si="8"/>
        <v>#N/A</v>
      </c>
      <c r="I38" s="3" t="e">
        <f t="shared" si="8"/>
        <v>#N/A</v>
      </c>
      <c r="J38" s="3" t="e">
        <f t="shared" si="8"/>
        <v>#N/A</v>
      </c>
      <c r="K38" s="3" t="e">
        <f t="shared" si="8"/>
        <v>#N/A</v>
      </c>
      <c r="L38" s="3" t="e">
        <f t="shared" si="8"/>
        <v>#N/A</v>
      </c>
      <c r="M38" s="3" t="e">
        <f t="shared" si="8"/>
        <v>#N/A</v>
      </c>
      <c r="N38" s="3" t="e">
        <f t="shared" si="8"/>
        <v>#N/A</v>
      </c>
      <c r="O38" s="3" t="e">
        <f t="shared" si="8"/>
        <v>#N/A</v>
      </c>
      <c r="P38" s="3" t="e">
        <f t="shared" si="8"/>
        <v>#N/A</v>
      </c>
      <c r="Q38" s="3" t="e">
        <f t="shared" si="8"/>
        <v>#N/A</v>
      </c>
      <c r="R38" s="3" t="e">
        <f t="shared" si="8"/>
        <v>#N/A</v>
      </c>
      <c r="S38" s="3" t="e">
        <f t="shared" si="8"/>
        <v>#N/A</v>
      </c>
      <c r="T38" s="3" t="e">
        <f t="shared" si="8"/>
        <v>#N/A</v>
      </c>
      <c r="U38" s="3" t="e">
        <f t="shared" si="8"/>
        <v>#N/A</v>
      </c>
      <c r="V38" s="3" t="e">
        <f t="shared" si="8"/>
        <v>#N/A</v>
      </c>
      <c r="W38" s="3" t="e">
        <f t="shared" si="8"/>
        <v>#N/A</v>
      </c>
      <c r="X38" s="3" t="e">
        <f t="shared" si="8"/>
        <v>#N/A</v>
      </c>
      <c r="Y38" s="3" t="e">
        <f t="shared" si="8"/>
        <v>#N/A</v>
      </c>
      <c r="Z38" s="3" t="e">
        <f t="shared" si="8"/>
        <v>#N/A</v>
      </c>
    </row>
    <row r="40" spans="1:26" x14ac:dyDescent="0.25">
      <c r="A40" s="203" t="s">
        <v>445</v>
      </c>
      <c r="B40" s="203"/>
      <c r="C40" s="203"/>
    </row>
    <row r="41" spans="1:26" x14ac:dyDescent="0.25">
      <c r="A41" t="str">
        <f>A28</f>
        <v>Member</v>
      </c>
      <c r="B41" t="s">
        <v>431</v>
      </c>
      <c r="C41" t="s">
        <v>446</v>
      </c>
      <c r="D41" t="s">
        <v>448</v>
      </c>
      <c r="E41" t="s">
        <v>447</v>
      </c>
    </row>
    <row r="42" spans="1:26" x14ac:dyDescent="0.25">
      <c r="A42" t="str">
        <f t="shared" ref="A42:A51" si="10">A29</f>
        <v>Australia</v>
      </c>
      <c r="B42" t="b">
        <f>IF(COUNTIF(Developed,$A42)=0,OTDS!$H$13,OTDS!$H$6)</f>
        <v>1</v>
      </c>
      <c r="C42" s="3">
        <f t="shared" ref="C42:C50" si="11">VLOOKUP($A42,AMS_Limits,2,FALSE)</f>
        <v>448112400.13125348</v>
      </c>
      <c r="D42" s="38">
        <f>IF(COUNTIF(Developed,$A42)=1,IF(OTDS!$I$6,OTDS!$J$6,0),IF(OTDS!$I$13,OTDS!$J$13,0))</f>
        <v>0</v>
      </c>
      <c r="E42" s="3">
        <f>IF(B42=FALSE,0,C42+C42*D42)</f>
        <v>448112400.13125348</v>
      </c>
    </row>
    <row r="43" spans="1:26" x14ac:dyDescent="0.25">
      <c r="A43" t="str">
        <f t="shared" si="10"/>
        <v>Brazil</v>
      </c>
      <c r="B43" t="b">
        <f>IF(COUNTIF(Developed,$A43)=0,OTDS!$H$13,OTDS!$H$6)</f>
        <v>1</v>
      </c>
      <c r="C43" s="3">
        <f t="shared" si="11"/>
        <v>912105150</v>
      </c>
      <c r="D43" s="38">
        <f>IF(COUNTIF(Developed,$A43)=1,IF(OTDS!$I$6,OTDS!$J$6,0),IF(OTDS!$I$13,OTDS!$J$13,0))</f>
        <v>0</v>
      </c>
      <c r="E43" s="3">
        <f t="shared" ref="E43:E51" si="12">IF(B43=FALSE,0,C43+C43*D43)</f>
        <v>912105150</v>
      </c>
    </row>
    <row r="44" spans="1:26" x14ac:dyDescent="0.25">
      <c r="A44" t="str">
        <f t="shared" si="10"/>
        <v>Canada</v>
      </c>
      <c r="B44" t="b">
        <f>IF(COUNTIF(Developed,$A44)=0,OTDS!$H$13,OTDS!$H$6)</f>
        <v>1</v>
      </c>
      <c r="C44" s="3">
        <f t="shared" si="11"/>
        <v>4070857191.1017885</v>
      </c>
      <c r="D44" s="38">
        <f>IF(COUNTIF(Developed,$A44)=1,IF(OTDS!$I$6,OTDS!$J$6,0),IF(OTDS!$I$13,OTDS!$J$13,0))</f>
        <v>0</v>
      </c>
      <c r="E44" s="3">
        <f t="shared" si="12"/>
        <v>4070857191.1017885</v>
      </c>
    </row>
    <row r="45" spans="1:26" x14ac:dyDescent="0.25">
      <c r="A45" t="str">
        <f t="shared" si="10"/>
        <v>China</v>
      </c>
      <c r="B45" t="b">
        <f>IF(COUNTIF(Developed,$A45)=0,OTDS!$H$13,OTDS!$H$6)</f>
        <v>1</v>
      </c>
      <c r="C45" s="3">
        <f t="shared" si="11"/>
        <v>0</v>
      </c>
      <c r="D45" s="38">
        <f>IF(COUNTIF(Developed,$A45)=1,IF(OTDS!$I$6,OTDS!$J$6,0),IF(OTDS!$I$13,OTDS!$J$13,0))</f>
        <v>0</v>
      </c>
      <c r="E45" s="3">
        <f t="shared" si="12"/>
        <v>0</v>
      </c>
    </row>
    <row r="46" spans="1:26" x14ac:dyDescent="0.25">
      <c r="A46" t="str">
        <f t="shared" si="10"/>
        <v>European Union</v>
      </c>
      <c r="B46" t="b">
        <f>IF(COUNTIF(Developed,$A46)=0,OTDS!$H$13,OTDS!$H$6)</f>
        <v>1</v>
      </c>
      <c r="C46" s="3">
        <f t="shared" si="11"/>
        <v>94377032795.588074</v>
      </c>
      <c r="D46" s="38">
        <f>IF(COUNTIF(Developed,$A46)=1,IF(OTDS!$I$6,OTDS!$J$6,0),IF(OTDS!$I$13,OTDS!$J$13,0))</f>
        <v>0</v>
      </c>
      <c r="E46" s="3">
        <f t="shared" si="12"/>
        <v>94377032795.588074</v>
      </c>
    </row>
    <row r="47" spans="1:26" x14ac:dyDescent="0.25">
      <c r="A47" t="str">
        <f t="shared" si="10"/>
        <v>India</v>
      </c>
      <c r="B47" t="b">
        <f>IF(COUNTIF(Developed,$A47)=0,OTDS!$H$13,OTDS!$H$6)</f>
        <v>1</v>
      </c>
      <c r="C47" s="3">
        <f t="shared" si="11"/>
        <v>0</v>
      </c>
      <c r="D47" s="38">
        <f>IF(COUNTIF(Developed,$A47)=1,IF(OTDS!$I$6,OTDS!$J$6,0),IF(OTDS!$I$13,OTDS!$J$13,0))</f>
        <v>0</v>
      </c>
      <c r="E47" s="3">
        <f t="shared" si="12"/>
        <v>0</v>
      </c>
    </row>
    <row r="48" spans="1:26" x14ac:dyDescent="0.25">
      <c r="A48" t="str">
        <f t="shared" si="10"/>
        <v>Indonesia</v>
      </c>
      <c r="B48" t="b">
        <f>IF(COUNTIF(Developed,$A48)=0,OTDS!$H$13,OTDS!$H$6)</f>
        <v>1</v>
      </c>
      <c r="C48" s="3">
        <f t="shared" si="11"/>
        <v>0</v>
      </c>
      <c r="D48" s="38">
        <f>IF(COUNTIF(Developed,$A48)=1,IF(OTDS!$I$6,OTDS!$J$6,0),IF(OTDS!$I$13,OTDS!$J$13,0))</f>
        <v>0</v>
      </c>
      <c r="E48" s="3">
        <f t="shared" si="12"/>
        <v>0</v>
      </c>
    </row>
    <row r="49" spans="1:28" x14ac:dyDescent="0.25">
      <c r="A49" t="str">
        <f t="shared" si="10"/>
        <v>Japan</v>
      </c>
      <c r="B49" t="b">
        <f>IF(COUNTIF(Developed,$A49)=0,OTDS!$H$13,OTDS!$H$6)</f>
        <v>1</v>
      </c>
      <c r="C49" s="3">
        <f t="shared" si="11"/>
        <v>40297791111.95343</v>
      </c>
      <c r="D49" s="38">
        <f>IF(COUNTIF(Developed,$A49)=1,IF(OTDS!$I$6,OTDS!$J$6,0),IF(OTDS!$I$13,OTDS!$J$13,0))</f>
        <v>0</v>
      </c>
      <c r="E49" s="3">
        <f t="shared" si="12"/>
        <v>40297791111.95343</v>
      </c>
    </row>
    <row r="50" spans="1:28" x14ac:dyDescent="0.25">
      <c r="A50" t="str">
        <f t="shared" si="10"/>
        <v>United States of America</v>
      </c>
      <c r="B50" t="b">
        <f>IF(COUNTIF(Developed,$A50)=0,OTDS!$H$13,OTDS!$H$6)</f>
        <v>1</v>
      </c>
      <c r="C50" s="3">
        <f t="shared" si="11"/>
        <v>19100000000</v>
      </c>
      <c r="D50" s="38">
        <f>IF(COUNTIF(Developed,$A50)=1,IF(OTDS!$I$6,OTDS!$J$6,0),IF(OTDS!$I$13,OTDS!$J$13,0))</f>
        <v>0</v>
      </c>
      <c r="E50" s="3">
        <f t="shared" si="12"/>
        <v>19100000000</v>
      </c>
    </row>
    <row r="51" spans="1:28" x14ac:dyDescent="0.25">
      <c r="A51" t="str">
        <f t="shared" si="10"/>
        <v>CUSTOM</v>
      </c>
      <c r="B51" t="b">
        <f>IF(COUNTIF(Developed,$A51)=0,OTDS!$H$13,OTDS!$H$6)</f>
        <v>1</v>
      </c>
      <c r="C51" s="3">
        <f>'Custom Member Setup'!D6</f>
        <v>0</v>
      </c>
      <c r="D51" s="38">
        <f>IF(COUNTIF(Developed,$A51)=1,IF(OTDS!$I$6,OTDS!$J$6,0),IF(OTDS!$I$13,OTDS!$J$13,0))</f>
        <v>0</v>
      </c>
      <c r="E51" s="3">
        <f t="shared" si="12"/>
        <v>0</v>
      </c>
    </row>
    <row r="53" spans="1:28" x14ac:dyDescent="0.25">
      <c r="A53" s="203" t="s">
        <v>453</v>
      </c>
      <c r="B53" s="203"/>
      <c r="C53" s="203"/>
    </row>
    <row r="54" spans="1:28" x14ac:dyDescent="0.25">
      <c r="A54" t="str">
        <f>A41</f>
        <v>Member</v>
      </c>
      <c r="B54" t="s">
        <v>451</v>
      </c>
      <c r="C54" t="s">
        <v>452</v>
      </c>
      <c r="D54">
        <v>2006</v>
      </c>
      <c r="E54">
        <v>2007</v>
      </c>
      <c r="F54">
        <v>2008</v>
      </c>
      <c r="G54">
        <v>2009</v>
      </c>
      <c r="H54">
        <v>2010</v>
      </c>
      <c r="I54">
        <v>2011</v>
      </c>
      <c r="J54">
        <v>2012</v>
      </c>
      <c r="K54">
        <v>2013</v>
      </c>
      <c r="L54">
        <v>2014</v>
      </c>
      <c r="M54">
        <v>2015</v>
      </c>
      <c r="N54">
        <v>2016</v>
      </c>
      <c r="O54">
        <v>2017</v>
      </c>
      <c r="P54">
        <v>2018</v>
      </c>
      <c r="Q54">
        <v>2019</v>
      </c>
      <c r="R54">
        <v>2020</v>
      </c>
      <c r="S54">
        <v>2021</v>
      </c>
      <c r="T54">
        <v>2022</v>
      </c>
      <c r="U54">
        <v>2023</v>
      </c>
      <c r="V54">
        <v>2024</v>
      </c>
      <c r="W54">
        <v>2025</v>
      </c>
      <c r="X54">
        <v>2026</v>
      </c>
      <c r="Y54">
        <v>2027</v>
      </c>
      <c r="Z54">
        <v>2028</v>
      </c>
      <c r="AA54">
        <v>2029</v>
      </c>
      <c r="AB54">
        <v>2030</v>
      </c>
    </row>
    <row r="55" spans="1:28" x14ac:dyDescent="0.25">
      <c r="A55" t="str">
        <f t="shared" ref="A55:A64" si="13">A42</f>
        <v>Australia</v>
      </c>
      <c r="B55" t="b">
        <f>IF(COUNTIF(Developed,A55)=1,OTDS!$K$6,OTDS!$K$13)</f>
        <v>0</v>
      </c>
      <c r="C55" s="38">
        <f>IF(B55=FALSE,0,IF(COUNTIF(Developed,A55)=1,IF(RIGHT(OTDS!$D$6,1)="%",OTDS!$L$7,OTDS!$L$7/100),IF(RIGHT(OTDS!$D$6,1)="%",OTDS!$L$14,OTDS!$L$14/100)))</f>
        <v>0</v>
      </c>
      <c r="D55" s="184">
        <f t="shared" ref="D55:D64" si="14">(B29+$E42)+IF($B55,(B29+$E42)*IF(COUNTIF(Developed,$A55)=1,VLOOKUP($E$185,Intervals_Developed,D$54-2004,FALSE),VLOOKUP($E$186,Intervals_Developing,D$54-2004,FALSE)),0)</f>
        <v>2639596400.1312532</v>
      </c>
      <c r="E55" s="184">
        <f t="shared" ref="E55:E64" si="15">(C29+$E42)+IF($B55,(C29+$E42)*IF(COUNTIF(Developed,$A55)=1,VLOOKUP($E$185,Intervals_Developed,E$54-2004,FALSE),VLOOKUP($E$186,Intervals_Developing,E$54-2004,FALSE)),0)</f>
        <v>3247875400.1312532</v>
      </c>
      <c r="F55" s="184">
        <f t="shared" ref="F55:F64" si="16">(D29+$E42)+IF($B55,(D29+$E42)*IF(COUNTIF(Developed,$A55)=1,VLOOKUP($E$185,Intervals_Developed,F$54-2004,FALSE),VLOOKUP($E$186,Intervals_Developing,F$54-2004,FALSE)),0)</f>
        <v>3913574400.1312532</v>
      </c>
      <c r="G55" s="184">
        <f t="shared" ref="G55:G64" si="17">(E29+$E42)+IF($B55,(E29+$E42)*IF(COUNTIF(Developed,$A55)=1,VLOOKUP($E$185,Intervals_Developed,G$54-2004,FALSE),VLOOKUP($E$186,Intervals_Developing,G$54-2004,FALSE)),0)</f>
        <v>3419759400.1312532</v>
      </c>
      <c r="H55" s="184">
        <f t="shared" ref="H55:H64" si="18">(F29+$E42)+IF($B55,(F29+$E42)*IF(COUNTIF(Developed,$A55)=1,VLOOKUP($E$185,Intervals_Developed,H$54-2004,FALSE),VLOOKUP($E$186,Intervals_Developing,H$54-2004,FALSE)),0)</f>
        <v>3616436400.1312532</v>
      </c>
      <c r="I55" s="184">
        <f t="shared" ref="I55:I64" si="19">(G29+$E42)+IF($B55,(G29+$E42)*IF(COUNTIF(Developed,$A55)=1,VLOOKUP($E$185,Intervals_Developed,I$54-2004,FALSE),VLOOKUP($E$186,Intervals_Developing,I$54-2004,FALSE)),0)</f>
        <v>4585201400.1312532</v>
      </c>
      <c r="J55" s="184">
        <f t="shared" ref="J55:J64" si="20">(H29+$E42)+IF($B55,(H29+$E42)*IF(COUNTIF(Developed,$A55)=1,VLOOKUP($E$185,Intervals_Developed,J$54-2004,FALSE),VLOOKUP($E$186,Intervals_Developing,J$54-2004,FALSE)),0)</f>
        <v>4710807400.1312532</v>
      </c>
      <c r="K55" s="184">
        <f t="shared" ref="K55:K64" si="21">(I29+$E42)+IF($B55,(I29+$E42)*IF(COUNTIF(Developed,$A55)=1,VLOOKUP($E$185,Intervals_Developed,K$54-2004,FALSE),VLOOKUP($E$186,Intervals_Developing,K$54-2004,FALSE)),0)</f>
        <v>4550855400.1312532</v>
      </c>
      <c r="L55" s="184">
        <f t="shared" ref="L55:L64" si="22">(J29+$E42)+IF($B55,(J29+$E42)*IF(COUNTIF(Developed,$A55)=1,VLOOKUP($E$185,Intervals_Developed,L$54-2004,FALSE),VLOOKUP($E$186,Intervals_Developing,L$54-2004,FALSE)),0)</f>
        <v>4673937690.1312532</v>
      </c>
      <c r="M55" s="184">
        <f t="shared" ref="M55:M64" si="23">(K29+$E42)+IF($B55,(K29+$E42)*IF(COUNTIF(Developed,$A55)=1,VLOOKUP($E$185,Intervals_Developed,M$54-2004,FALSE),VLOOKUP($E$186,Intervals_Developing,M$54-2004,FALSE)),0)</f>
        <v>4800712448.8312531</v>
      </c>
      <c r="N55" s="184">
        <f t="shared" ref="N55:N64" si="24">(L29+$E42)+IF($B55,(L29+$E42)*IF(COUNTIF(Developed,$A55)=1,VLOOKUP($E$185,Intervals_Developed,N$54-2004,FALSE),VLOOKUP($E$186,Intervals_Developing,N$54-2004,FALSE)),0)</f>
        <v>4931290450.2922535</v>
      </c>
      <c r="O55" s="184">
        <f t="shared" ref="O55:O64" si="25">(M29+$E42)+IF($B55,(M29+$E42)*IF(COUNTIF(Developed,$A55)=1,VLOOKUP($E$185,Intervals_Developed,O$54-2004,FALSE),VLOOKUP($E$186,Intervals_Developing,O$54-2004,FALSE)),0)</f>
        <v>5065785791.7970839</v>
      </c>
      <c r="P55" s="184">
        <f t="shared" ref="P55:P64" si="26">(N29+$E42)+IF($B55,(N29+$E42)*IF(COUNTIF(Developed,$A55)=1,VLOOKUP($E$185,Intervals_Developed,P$54-2004,FALSE),VLOOKUP($E$186,Intervals_Developing,P$54-2004,FALSE)),0)</f>
        <v>5204315993.5470581</v>
      </c>
      <c r="Q55" s="184">
        <f t="shared" ref="Q55:Q64" si="27">(O29+$E42)+IF($B55,(O29+$E42)*IF(COUNTIF(Developed,$A55)=1,VLOOKUP($E$185,Intervals_Developed,Q$54-2004,FALSE),VLOOKUP($E$186,Intervals_Developing,Q$54-2004,FALSE)),0)</f>
        <v>5347002101.3495331</v>
      </c>
      <c r="R55" s="184">
        <f t="shared" ref="R55:R64" si="28">(P29+$E42)+IF($B55,(P29+$E42)*IF(COUNTIF(Developed,$A55)=1,VLOOKUP($E$185,Intervals_Developed,R$54-2004,FALSE),VLOOKUP($E$186,Intervals_Developing,R$54-2004,FALSE)),0)</f>
        <v>5493968792.3860817</v>
      </c>
      <c r="S55" s="184">
        <f t="shared" ref="S55:S64" si="29">(Q29+$E42)+IF($B55,(Q29+$E42)*IF(COUNTIF(Developed,$A55)=1,VLOOKUP($E$185,Intervals_Developed,S$54-2004,FALSE),VLOOKUP($E$186,Intervals_Developing,S$54-2004,FALSE)),0)</f>
        <v>5645344484.1537256</v>
      </c>
      <c r="T55" s="184">
        <f t="shared" ref="T55:T64" si="30">(R29+$E42)+IF($B55,(R29+$E42)*IF(COUNTIF(Developed,$A55)=1,VLOOKUP($E$185,Intervals_Developed,T$54-2004,FALSE),VLOOKUP($E$186,Intervals_Developing,T$54-2004,FALSE)),0)</f>
        <v>5801261446.6744003</v>
      </c>
      <c r="U55" s="184">
        <f t="shared" ref="U55:U64" si="31">(S29+$E42)+IF($B55,(S29+$E42)*IF(COUNTIF(Developed,$A55)=1,VLOOKUP($E$185,Intervals_Developed,U$54-2004,FALSE),VLOOKUP($E$186,Intervals_Developing,U$54-2004,FALSE)),0)</f>
        <v>5961855918.0706949</v>
      </c>
      <c r="V55" s="184">
        <f t="shared" ref="V55:V64" si="32">(T29+$E42)+IF($B55,(T29+$E42)*IF(COUNTIF(Developed,$A55)=1,VLOOKUP($E$185,Intervals_Developed,V$54-2004,FALSE),VLOOKUP($E$186,Intervals_Developing,V$54-2004,FALSE)),0)</f>
        <v>6127268223.6088781</v>
      </c>
      <c r="W55" s="184">
        <f t="shared" ref="W55:W64" si="33">(U29+$E42)+IF($B55,(U29+$E42)*IF(COUNTIF(Developed,$A55)=1,VLOOKUP($E$185,Intervals_Developed,W$54-2004,FALSE),VLOOKUP($E$186,Intervals_Developing,W$54-2004,FALSE)),0)</f>
        <v>6297642898.3132067</v>
      </c>
      <c r="X55" s="184">
        <f t="shared" ref="X55:X64" si="34">(V29+$E42)+IF($B55,(V29+$E42)*IF(COUNTIF(Developed,$A55)=1,VLOOKUP($E$185,Intervals_Developed,X$54-2004,FALSE),VLOOKUP($E$186,Intervals_Developing,X$54-2004,FALSE)),0)</f>
        <v>6473128813.258666</v>
      </c>
      <c r="Y55" s="184">
        <f t="shared" ref="Y55:Y64" si="35">(W29+$E42)+IF($B55,(W29+$E42)*IF(COUNTIF(Developed,$A55)=1,VLOOKUP($E$185,Intervals_Developed,Y$54-2004,FALSE),VLOOKUP($E$186,Intervals_Developing,Y$54-2004,FALSE)),0)</f>
        <v>6653879305.6524887</v>
      </c>
      <c r="Z55" s="184">
        <f t="shared" ref="Z55:Z64" si="36">(X29+$E42)+IF($B55,(X29+$E42)*IF(COUNTIF(Developed,$A55)=1,VLOOKUP($E$185,Intervals_Developed,Z$54-2004,FALSE),VLOOKUP($E$186,Intervals_Developing,Z$54-2004,FALSE)),0)</f>
        <v>6840052312.8181257</v>
      </c>
      <c r="AA55" s="184">
        <f t="shared" ref="AA55:AA64" si="37">(Y29+$E42)+IF($B55,(Y29+$E42)*IF(COUNTIF(Developed,$A55)=1,VLOOKUP($E$185,Intervals_Developed,AA$54-2004,FALSE),VLOOKUP($E$186,Intervals_Developing,AA$54-2004,FALSE)),0)</f>
        <v>7031810510.1987314</v>
      </c>
      <c r="AB55" s="184">
        <f t="shared" ref="AB55:AB64" si="38">(Z29+$E42)+IF($B55,(Z29+$E42)*IF(COUNTIF(Developed,$A55)=1,VLOOKUP($E$185,Intervals_Developed,AB$54-2004,FALSE),VLOOKUP($E$186,Intervals_Developing,AB$54-2004,FALSE)),0)</f>
        <v>7229321453.5007563</v>
      </c>
    </row>
    <row r="56" spans="1:28" x14ac:dyDescent="0.25">
      <c r="A56" t="str">
        <f t="shared" si="13"/>
        <v>Brazil</v>
      </c>
      <c r="B56" t="b">
        <f>IF(COUNTIF(Developed,A56)=1,OTDS!$K$6,OTDS!$K$13)</f>
        <v>0</v>
      </c>
      <c r="C56" s="38">
        <f>IF(B56=FALSE,0,IF(COUNTIF(Developed,A56)=1,IF(RIGHT(OTDS!$D$6,1)="%",OTDS!$L$7,OTDS!$L$7/100),IF(RIGHT(OTDS!$D$6,1)="%",OTDS!$L$14,OTDS!$L$14/100)))</f>
        <v>0</v>
      </c>
      <c r="D56" s="184">
        <f t="shared" si="14"/>
        <v>16341193150</v>
      </c>
      <c r="E56" s="184">
        <f t="shared" si="15"/>
        <v>22710165150</v>
      </c>
      <c r="F56" s="184">
        <f t="shared" si="16"/>
        <v>30060091150</v>
      </c>
      <c r="G56" s="184">
        <f t="shared" si="17"/>
        <v>27610459150</v>
      </c>
      <c r="H56" s="184">
        <f t="shared" si="18"/>
        <v>33421571150</v>
      </c>
      <c r="I56" s="184">
        <f t="shared" si="19"/>
        <v>42755149150</v>
      </c>
      <c r="J56" s="184">
        <f t="shared" si="20"/>
        <v>41364295150</v>
      </c>
      <c r="K56" s="184">
        <f t="shared" si="21"/>
        <v>44792417150</v>
      </c>
      <c r="L56" s="184">
        <f t="shared" si="22"/>
        <v>46108826510</v>
      </c>
      <c r="M56" s="184">
        <f t="shared" si="23"/>
        <v>47464728150.800003</v>
      </c>
      <c r="N56" s="184">
        <f t="shared" si="24"/>
        <v>48861306840.824005</v>
      </c>
      <c r="O56" s="184">
        <f t="shared" si="25"/>
        <v>50299782891.548721</v>
      </c>
      <c r="P56" s="184">
        <f t="shared" si="26"/>
        <v>51781413223.795181</v>
      </c>
      <c r="Q56" s="184">
        <f t="shared" si="27"/>
        <v>53307492466.009033</v>
      </c>
      <c r="R56" s="184">
        <f t="shared" si="28"/>
        <v>54879354085.489311</v>
      </c>
      <c r="S56" s="184">
        <f t="shared" si="29"/>
        <v>56498371553.553993</v>
      </c>
      <c r="T56" s="184">
        <f t="shared" si="30"/>
        <v>58165959545.660614</v>
      </c>
      <c r="U56" s="184">
        <f t="shared" si="31"/>
        <v>59883575177.530426</v>
      </c>
      <c r="V56" s="184">
        <f t="shared" si="32"/>
        <v>61652719278.356339</v>
      </c>
      <c r="W56" s="184">
        <f t="shared" si="33"/>
        <v>63474937702.207031</v>
      </c>
      <c r="X56" s="184">
        <f t="shared" si="34"/>
        <v>65351822678.773247</v>
      </c>
      <c r="Y56" s="184">
        <f t="shared" si="35"/>
        <v>67285014204.636444</v>
      </c>
      <c r="Z56" s="184">
        <f t="shared" si="36"/>
        <v>69276201476.275543</v>
      </c>
      <c r="AA56" s="184">
        <f t="shared" si="37"/>
        <v>71327124366.063812</v>
      </c>
      <c r="AB56" s="184">
        <f t="shared" si="38"/>
        <v>73439574942.545715</v>
      </c>
    </row>
    <row r="57" spans="1:28" x14ac:dyDescent="0.25">
      <c r="A57" t="str">
        <f t="shared" si="13"/>
        <v>Canada</v>
      </c>
      <c r="B57" t="b">
        <f>IF(COUNTIF(Developed,A57)=1,OTDS!$K$6,OTDS!$K$13)</f>
        <v>0</v>
      </c>
      <c r="C57" s="38">
        <f>IF(B57=FALSE,0,IF(COUNTIF(Developed,A57)=1,IF(RIGHT(OTDS!$D$6,1)="%",OTDS!$L$7,OTDS!$L$7/100),IF(RIGHT(OTDS!$D$6,1)="%",OTDS!$L$14,OTDS!$L$14/100)))</f>
        <v>0</v>
      </c>
      <c r="D57" s="184">
        <f t="shared" si="14"/>
        <v>5782343191.1017885</v>
      </c>
      <c r="E57" s="184">
        <f t="shared" si="15"/>
        <v>6260005191.1017885</v>
      </c>
      <c r="F57" s="184">
        <f t="shared" si="16"/>
        <v>7268794191.1017885</v>
      </c>
      <c r="G57" s="184">
        <f t="shared" si="17"/>
        <v>6649163191.1017885</v>
      </c>
      <c r="H57" s="184">
        <f t="shared" si="18"/>
        <v>6687609191.1017885</v>
      </c>
      <c r="I57" s="184">
        <f t="shared" si="19"/>
        <v>7326502191.1017885</v>
      </c>
      <c r="J57" s="184">
        <f t="shared" si="20"/>
        <v>7798103191.1017885</v>
      </c>
      <c r="K57" s="184">
        <f t="shared" si="21"/>
        <v>8182085191.1017885</v>
      </c>
      <c r="L57" s="184">
        <f t="shared" si="22"/>
        <v>8305422031.1017885</v>
      </c>
      <c r="M57" s="184">
        <f t="shared" si="23"/>
        <v>8432458976.3017883</v>
      </c>
      <c r="N57" s="184">
        <f t="shared" si="24"/>
        <v>8563307029.8577881</v>
      </c>
      <c r="O57" s="184">
        <f t="shared" si="25"/>
        <v>8698080525.0204697</v>
      </c>
      <c r="P57" s="184">
        <f t="shared" si="26"/>
        <v>8836897225.0380287</v>
      </c>
      <c r="Q57" s="184">
        <f t="shared" si="27"/>
        <v>8979878426.0561161</v>
      </c>
      <c r="R57" s="184">
        <f t="shared" si="28"/>
        <v>9127149063.1047459</v>
      </c>
      <c r="S57" s="184">
        <f t="shared" si="29"/>
        <v>9278837819.2648354</v>
      </c>
      <c r="T57" s="184">
        <f t="shared" si="30"/>
        <v>9435077238.109726</v>
      </c>
      <c r="U57" s="184">
        <f t="shared" si="31"/>
        <v>9596003839.5199623</v>
      </c>
      <c r="V57" s="184">
        <f t="shared" si="32"/>
        <v>9761758238.9725075</v>
      </c>
      <c r="W57" s="184">
        <f t="shared" si="33"/>
        <v>9932485270.4086304</v>
      </c>
      <c r="X57" s="184">
        <f t="shared" si="34"/>
        <v>10108334112.787834</v>
      </c>
      <c r="Y57" s="184">
        <f t="shared" si="35"/>
        <v>10289458420.438416</v>
      </c>
      <c r="Z57" s="184">
        <f t="shared" si="36"/>
        <v>10476016457.318516</v>
      </c>
      <c r="AA57" s="184">
        <f t="shared" si="37"/>
        <v>10668171235.305017</v>
      </c>
      <c r="AB57" s="184">
        <f t="shared" si="38"/>
        <v>10866090656.631115</v>
      </c>
    </row>
    <row r="58" spans="1:28" x14ac:dyDescent="0.25">
      <c r="A58" t="str">
        <f t="shared" si="13"/>
        <v>China</v>
      </c>
      <c r="B58" t="b">
        <f>IF(COUNTIF(Developed,A58)=1,OTDS!$K$6,OTDS!$K$13)</f>
        <v>0</v>
      </c>
      <c r="C58" s="38">
        <f>IF(B58=FALSE,0,IF(COUNTIF(Developed,A58)=1,IF(RIGHT(OTDS!$D$6,1)="%",OTDS!$L$7,OTDS!$L$7/100),IF(RIGHT(OTDS!$D$6,1)="%",OTDS!$L$14,OTDS!$L$14/100)))</f>
        <v>0</v>
      </c>
      <c r="D58" s="184">
        <f t="shared" si="14"/>
        <v>87233609600</v>
      </c>
      <c r="E58" s="184">
        <f t="shared" si="15"/>
        <v>104454619800</v>
      </c>
      <c r="F58" s="184">
        <f t="shared" si="16"/>
        <v>130685985300.00002</v>
      </c>
      <c r="G58" s="184">
        <f t="shared" si="17"/>
        <v>131736575100.00002</v>
      </c>
      <c r="H58" s="184">
        <f t="shared" si="18"/>
        <v>150826621400</v>
      </c>
      <c r="I58" s="184">
        <f t="shared" si="19"/>
        <v>195952575700</v>
      </c>
      <c r="J58" s="184">
        <f t="shared" si="20"/>
        <v>209051862800</v>
      </c>
      <c r="K58" s="184">
        <f t="shared" si="21"/>
        <v>218381903100.00003</v>
      </c>
      <c r="L58" s="184">
        <f t="shared" si="22"/>
        <v>224933360193.00003</v>
      </c>
      <c r="M58" s="184">
        <f t="shared" si="23"/>
        <v>231681360998.79001</v>
      </c>
      <c r="N58" s="184">
        <f t="shared" si="24"/>
        <v>238631801828.75372</v>
      </c>
      <c r="O58" s="184">
        <f t="shared" si="25"/>
        <v>245790755883.61636</v>
      </c>
      <c r="P58" s="184">
        <f t="shared" si="26"/>
        <v>253164478560.12485</v>
      </c>
      <c r="Q58" s="184">
        <f t="shared" si="27"/>
        <v>260759412916.92859</v>
      </c>
      <c r="R58" s="184">
        <f t="shared" si="28"/>
        <v>268582195304.43643</v>
      </c>
      <c r="S58" s="184">
        <f t="shared" si="29"/>
        <v>276639661163.56952</v>
      </c>
      <c r="T58" s="184">
        <f t="shared" si="30"/>
        <v>284938850998.47662</v>
      </c>
      <c r="U58" s="184">
        <f t="shared" si="31"/>
        <v>293487016528.43097</v>
      </c>
      <c r="V58" s="184">
        <f t="shared" si="32"/>
        <v>302291627024.28387</v>
      </c>
      <c r="W58" s="184">
        <f t="shared" si="33"/>
        <v>311360375835.01239</v>
      </c>
      <c r="X58" s="184">
        <f t="shared" si="34"/>
        <v>320701187110.06274</v>
      </c>
      <c r="Y58" s="184">
        <f t="shared" si="35"/>
        <v>330322222723.36462</v>
      </c>
      <c r="Z58" s="184">
        <f t="shared" si="36"/>
        <v>340231889405.06555</v>
      </c>
      <c r="AA58" s="184">
        <f t="shared" si="37"/>
        <v>350438846087.21753</v>
      </c>
      <c r="AB58" s="184">
        <f t="shared" si="38"/>
        <v>360952011469.83405</v>
      </c>
    </row>
    <row r="59" spans="1:28" x14ac:dyDescent="0.25">
      <c r="A59" t="str">
        <f t="shared" si="13"/>
        <v>European Union</v>
      </c>
      <c r="B59" t="b">
        <f>IF(COUNTIF(Developed,A59)=1,OTDS!$K$6,OTDS!$K$13)</f>
        <v>0</v>
      </c>
      <c r="C59" s="38">
        <f>IF(B59=FALSE,0,IF(COUNTIF(Developed,A59)=1,IF(RIGHT(OTDS!$D$6,1)="%",OTDS!$L$7,OTDS!$L$7/100),IF(RIGHT(OTDS!$D$6,1)="%",OTDS!$L$14,OTDS!$L$14/100)))</f>
        <v>0</v>
      </c>
      <c r="D59" s="184">
        <f t="shared" si="14"/>
        <v>125135495795.58807</v>
      </c>
      <c r="E59" s="184">
        <f t="shared" si="15"/>
        <v>131395538795.58807</v>
      </c>
      <c r="F59" s="184">
        <f t="shared" si="16"/>
        <v>136316061795.58807</v>
      </c>
      <c r="G59" s="184">
        <f t="shared" si="17"/>
        <v>128273123795.58807</v>
      </c>
      <c r="H59" s="184">
        <f t="shared" si="18"/>
        <v>129824164795.58807</v>
      </c>
      <c r="I59" s="184">
        <f t="shared" si="19"/>
        <v>135701684795.58807</v>
      </c>
      <c r="J59" s="184">
        <f t="shared" si="20"/>
        <v>133145876795.58807</v>
      </c>
      <c r="K59" s="184">
        <f t="shared" si="21"/>
        <v>135721475795.58807</v>
      </c>
      <c r="L59" s="184">
        <f t="shared" si="22"/>
        <v>136961809085.58807</v>
      </c>
      <c r="M59" s="184">
        <f t="shared" si="23"/>
        <v>138239352374.28809</v>
      </c>
      <c r="N59" s="184">
        <f t="shared" si="24"/>
        <v>139555221961.64908</v>
      </c>
      <c r="O59" s="184">
        <f t="shared" si="25"/>
        <v>140910567636.63092</v>
      </c>
      <c r="P59" s="184">
        <f t="shared" si="26"/>
        <v>142306573681.86218</v>
      </c>
      <c r="Q59" s="184">
        <f t="shared" si="27"/>
        <v>143744459908.45041</v>
      </c>
      <c r="R59" s="184">
        <f t="shared" si="28"/>
        <v>145225482721.8363</v>
      </c>
      <c r="S59" s="184">
        <f t="shared" si="29"/>
        <v>146750936219.62372</v>
      </c>
      <c r="T59" s="184">
        <f t="shared" si="30"/>
        <v>148322153322.34479</v>
      </c>
      <c r="U59" s="184">
        <f t="shared" si="31"/>
        <v>149940506938.14749</v>
      </c>
      <c r="V59" s="184">
        <f t="shared" si="32"/>
        <v>151607411162.42429</v>
      </c>
      <c r="W59" s="184">
        <f t="shared" si="33"/>
        <v>153324322513.42938</v>
      </c>
      <c r="X59" s="184">
        <f t="shared" si="34"/>
        <v>155092741204.9646</v>
      </c>
      <c r="Y59" s="184">
        <f t="shared" si="35"/>
        <v>156914212457.24591</v>
      </c>
      <c r="Z59" s="184">
        <f t="shared" si="36"/>
        <v>158790327847.09564</v>
      </c>
      <c r="AA59" s="184">
        <f t="shared" si="37"/>
        <v>160722726698.64087</v>
      </c>
      <c r="AB59" s="184">
        <f t="shared" si="38"/>
        <v>162713097515.73245</v>
      </c>
    </row>
    <row r="60" spans="1:28" x14ac:dyDescent="0.25">
      <c r="A60" t="str">
        <f t="shared" si="13"/>
        <v>India</v>
      </c>
      <c r="B60" t="b">
        <f>IF(COUNTIF(Developed,A60)=1,OTDS!$K$6,OTDS!$K$13)</f>
        <v>0</v>
      </c>
      <c r="C60" s="38">
        <f>IF(B60=FALSE,0,IF(COUNTIF(Developed,A60)=1,IF(RIGHT(OTDS!$D$6,1)="%",OTDS!$L$7,OTDS!$L$7/100),IF(RIGHT(OTDS!$D$6,1)="%",OTDS!$L$14,OTDS!$L$14/100)))</f>
        <v>0</v>
      </c>
      <c r="D60" s="184">
        <f t="shared" si="14"/>
        <v>31111702000</v>
      </c>
      <c r="E60" s="184">
        <f t="shared" si="15"/>
        <v>39926360000</v>
      </c>
      <c r="F60" s="184">
        <f t="shared" si="16"/>
        <v>43012342000</v>
      </c>
      <c r="G60" s="184">
        <f t="shared" si="17"/>
        <v>41379604000</v>
      </c>
      <c r="H60" s="184">
        <f t="shared" si="18"/>
        <v>46126178000</v>
      </c>
      <c r="I60" s="184">
        <f t="shared" si="19"/>
        <v>49472700000</v>
      </c>
      <c r="J60" s="184">
        <f t="shared" si="20"/>
        <v>47734470000</v>
      </c>
      <c r="K60" s="184">
        <f t="shared" si="21"/>
        <v>51356354000</v>
      </c>
      <c r="L60" s="184">
        <f t="shared" si="22"/>
        <v>52897044620</v>
      </c>
      <c r="M60" s="184">
        <f t="shared" si="23"/>
        <v>54483955958.600006</v>
      </c>
      <c r="N60" s="184">
        <f t="shared" si="24"/>
        <v>56118474637.358002</v>
      </c>
      <c r="O60" s="184">
        <f t="shared" si="25"/>
        <v>57802028876.478737</v>
      </c>
      <c r="P60" s="184">
        <f t="shared" si="26"/>
        <v>59536089742.773102</v>
      </c>
      <c r="Q60" s="184">
        <f t="shared" si="27"/>
        <v>61322172435.05629</v>
      </c>
      <c r="R60" s="184">
        <f t="shared" si="28"/>
        <v>63161837608.107971</v>
      </c>
      <c r="S60" s="184">
        <f t="shared" si="29"/>
        <v>65056692736.351212</v>
      </c>
      <c r="T60" s="184">
        <f t="shared" si="30"/>
        <v>67008393518.44175</v>
      </c>
      <c r="U60" s="184">
        <f t="shared" si="31"/>
        <v>69018645323.994995</v>
      </c>
      <c r="V60" s="184">
        <f t="shared" si="32"/>
        <v>71089204683.714844</v>
      </c>
      <c r="W60" s="184">
        <f t="shared" si="33"/>
        <v>73221880824.226303</v>
      </c>
      <c r="X60" s="184">
        <f t="shared" si="34"/>
        <v>75418537248.953094</v>
      </c>
      <c r="Y60" s="184">
        <f t="shared" si="35"/>
        <v>77681093366.421677</v>
      </c>
      <c r="Z60" s="184">
        <f t="shared" si="36"/>
        <v>80011526167.414337</v>
      </c>
      <c r="AA60" s="184">
        <f t="shared" si="37"/>
        <v>82411871952.436768</v>
      </c>
      <c r="AB60" s="184">
        <f t="shared" si="38"/>
        <v>84884228111.009872</v>
      </c>
    </row>
    <row r="61" spans="1:28" x14ac:dyDescent="0.25">
      <c r="A61" t="str">
        <f t="shared" si="13"/>
        <v>Indonesia</v>
      </c>
      <c r="B61" t="b">
        <f>IF(COUNTIF(Developed,A61)=1,OTDS!$K$6,OTDS!$K$13)</f>
        <v>0</v>
      </c>
      <c r="C61" s="38">
        <f>IF(B61=FALSE,0,IF(COUNTIF(Developed,A61)=1,IF(RIGHT(OTDS!$D$6,1)="%",OTDS!$L$7,OTDS!$L$7/100),IF(RIGHT(OTDS!$D$6,1)="%",OTDS!$L$14,OTDS!$L$14/100)))</f>
        <v>0</v>
      </c>
      <c r="D61" s="184">
        <f t="shared" si="14"/>
        <v>9216450000</v>
      </c>
      <c r="E61" s="184">
        <f t="shared" si="15"/>
        <v>10985478000</v>
      </c>
      <c r="F61" s="184">
        <f t="shared" si="16"/>
        <v>13481302000</v>
      </c>
      <c r="G61" s="184">
        <f t="shared" si="17"/>
        <v>13559770000.000002</v>
      </c>
      <c r="H61" s="184">
        <f t="shared" si="18"/>
        <v>18491138000</v>
      </c>
      <c r="I61" s="184">
        <f t="shared" si="19"/>
        <v>28223174000</v>
      </c>
      <c r="J61" s="184">
        <f t="shared" si="20"/>
        <v>28859560000</v>
      </c>
      <c r="K61" s="184">
        <f t="shared" si="21"/>
        <v>25209368000</v>
      </c>
      <c r="L61" s="184">
        <f t="shared" si="22"/>
        <v>25965649040</v>
      </c>
      <c r="M61" s="184">
        <f t="shared" si="23"/>
        <v>26744618511.200001</v>
      </c>
      <c r="N61" s="184">
        <f t="shared" si="24"/>
        <v>27546957066.535999</v>
      </c>
      <c r="O61" s="184">
        <f t="shared" si="25"/>
        <v>28373365778.532082</v>
      </c>
      <c r="P61" s="184">
        <f t="shared" si="26"/>
        <v>29224566751.888046</v>
      </c>
      <c r="Q61" s="184">
        <f t="shared" si="27"/>
        <v>30101303754.444687</v>
      </c>
      <c r="R61" s="184">
        <f t="shared" si="28"/>
        <v>31004342867.07803</v>
      </c>
      <c r="S61" s="184">
        <f t="shared" si="29"/>
        <v>31934473153.09037</v>
      </c>
      <c r="T61" s="184">
        <f t="shared" si="30"/>
        <v>32892507347.683083</v>
      </c>
      <c r="U61" s="184">
        <f t="shared" si="31"/>
        <v>33879282568.113575</v>
      </c>
      <c r="V61" s="184">
        <f t="shared" si="32"/>
        <v>34895661045.156982</v>
      </c>
      <c r="W61" s="184">
        <f t="shared" si="33"/>
        <v>35942530876.511696</v>
      </c>
      <c r="X61" s="184">
        <f t="shared" si="34"/>
        <v>37020806802.807045</v>
      </c>
      <c r="Y61" s="184">
        <f t="shared" si="35"/>
        <v>38131431006.891258</v>
      </c>
      <c r="Z61" s="184">
        <f t="shared" si="36"/>
        <v>39275373937.097992</v>
      </c>
      <c r="AA61" s="184">
        <f t="shared" si="37"/>
        <v>40453635155.21093</v>
      </c>
      <c r="AB61" s="184">
        <f t="shared" si="38"/>
        <v>41667244209.867264</v>
      </c>
    </row>
    <row r="62" spans="1:28" x14ac:dyDescent="0.25">
      <c r="A62" t="str">
        <f t="shared" si="13"/>
        <v>Japan</v>
      </c>
      <c r="B62" t="b">
        <f>IF(COUNTIF(Developed,A62)=1,OTDS!$K$6,OTDS!$K$13)</f>
        <v>0</v>
      </c>
      <c r="C62" s="38">
        <f>IF(B62=FALSE,0,IF(COUNTIF(Developed,A62)=1,IF(RIGHT(OTDS!$D$6,1)="%",OTDS!$L$7,OTDS!$L$7/100),IF(RIGHT(OTDS!$D$6,1)="%",OTDS!$L$14,OTDS!$L$14/100)))</f>
        <v>0</v>
      </c>
      <c r="D62" s="184">
        <f t="shared" si="14"/>
        <v>46384205111.95343</v>
      </c>
      <c r="E62" s="184">
        <f t="shared" si="15"/>
        <v>46139829111.95343</v>
      </c>
      <c r="F62" s="184">
        <f t="shared" si="16"/>
        <v>46988349111.95343</v>
      </c>
      <c r="G62" s="184">
        <f t="shared" si="17"/>
        <v>47470963111.95343</v>
      </c>
      <c r="H62" s="184">
        <f t="shared" si="18"/>
        <v>48067160111.95343</v>
      </c>
      <c r="I62" s="184">
        <f t="shared" si="19"/>
        <v>48491804111.95343</v>
      </c>
      <c r="J62" s="184">
        <f t="shared" si="20"/>
        <v>48991799111.95343</v>
      </c>
      <c r="K62" s="184">
        <f t="shared" si="21"/>
        <v>47412534111.95343</v>
      </c>
      <c r="L62" s="184">
        <f t="shared" si="22"/>
        <v>47625976401.95343</v>
      </c>
      <c r="M62" s="184">
        <f t="shared" si="23"/>
        <v>47845821960.653427</v>
      </c>
      <c r="N62" s="184">
        <f t="shared" si="24"/>
        <v>48072262886.114433</v>
      </c>
      <c r="O62" s="184">
        <f t="shared" si="25"/>
        <v>48305497039.339264</v>
      </c>
      <c r="P62" s="184">
        <f t="shared" si="26"/>
        <v>48545728217.160835</v>
      </c>
      <c r="Q62" s="184">
        <f t="shared" si="27"/>
        <v>48793166330.317062</v>
      </c>
      <c r="R62" s="184">
        <f t="shared" si="28"/>
        <v>49048027586.867966</v>
      </c>
      <c r="S62" s="184">
        <f t="shared" si="29"/>
        <v>49310534681.115402</v>
      </c>
      <c r="T62" s="184">
        <f t="shared" si="30"/>
        <v>49580916988.190262</v>
      </c>
      <c r="U62" s="184">
        <f t="shared" si="31"/>
        <v>49859410764.477371</v>
      </c>
      <c r="V62" s="184">
        <f t="shared" si="32"/>
        <v>50146259354.053085</v>
      </c>
      <c r="W62" s="184">
        <f t="shared" si="33"/>
        <v>50441713401.316078</v>
      </c>
      <c r="X62" s="184">
        <f t="shared" si="34"/>
        <v>50746031069.996956</v>
      </c>
      <c r="Y62" s="184">
        <f t="shared" si="35"/>
        <v>51059478268.738266</v>
      </c>
      <c r="Z62" s="184">
        <f t="shared" si="36"/>
        <v>51382328883.441803</v>
      </c>
      <c r="AA62" s="184">
        <f t="shared" si="37"/>
        <v>51714865016.586456</v>
      </c>
      <c r="AB62" s="184">
        <f t="shared" si="38"/>
        <v>52057377233.725449</v>
      </c>
    </row>
    <row r="63" spans="1:28" x14ac:dyDescent="0.25">
      <c r="A63" t="str">
        <f t="shared" si="13"/>
        <v>United States of America</v>
      </c>
      <c r="B63" t="b">
        <f>IF(COUNTIF(Developed,A63)=1,OTDS!$K$6,OTDS!$K$13)</f>
        <v>0</v>
      </c>
      <c r="C63" s="38">
        <f>IF(B63=FALSE,0,IF(COUNTIF(Developed,A63)=1,IF(RIGHT(OTDS!$D$6,1)="%",OTDS!$L$7,OTDS!$L$7/100),IF(RIGHT(OTDS!$D$6,1)="%",OTDS!$L$14,OTDS!$L$14/100)))</f>
        <v>0</v>
      </c>
      <c r="D63" s="184">
        <f t="shared" si="14"/>
        <v>37275354000</v>
      </c>
      <c r="E63" s="184">
        <f t="shared" si="15"/>
        <v>43507358000</v>
      </c>
      <c r="F63" s="184">
        <f t="shared" si="16"/>
        <v>44029063000</v>
      </c>
      <c r="G63" s="184">
        <f t="shared" si="17"/>
        <v>41804075000</v>
      </c>
      <c r="H63" s="184">
        <f t="shared" si="18"/>
        <v>46696855000</v>
      </c>
      <c r="I63" s="184">
        <f t="shared" si="19"/>
        <v>49508893000</v>
      </c>
      <c r="J63" s="184">
        <f t="shared" si="20"/>
        <v>50668008000</v>
      </c>
      <c r="K63" s="184">
        <f t="shared" si="21"/>
        <v>50208429000</v>
      </c>
      <c r="L63" s="184">
        <f t="shared" si="22"/>
        <v>51141681870</v>
      </c>
      <c r="M63" s="184">
        <f t="shared" si="23"/>
        <v>52102932326.100006</v>
      </c>
      <c r="N63" s="184">
        <f t="shared" si="24"/>
        <v>53093020295.883003</v>
      </c>
      <c r="O63" s="184">
        <f t="shared" si="25"/>
        <v>54112810904.759491</v>
      </c>
      <c r="P63" s="184">
        <f t="shared" si="26"/>
        <v>55163195231.902275</v>
      </c>
      <c r="Q63" s="184">
        <f t="shared" si="27"/>
        <v>56245091088.859344</v>
      </c>
      <c r="R63" s="184">
        <f t="shared" si="28"/>
        <v>57359443821.525124</v>
      </c>
      <c r="S63" s="184">
        <f t="shared" si="29"/>
        <v>58507227136.170876</v>
      </c>
      <c r="T63" s="184">
        <f t="shared" si="30"/>
        <v>59689443950.256004</v>
      </c>
      <c r="U63" s="184">
        <f t="shared" si="31"/>
        <v>60907127268.76368</v>
      </c>
      <c r="V63" s="184">
        <f t="shared" si="32"/>
        <v>62161341086.826591</v>
      </c>
      <c r="W63" s="184">
        <f t="shared" si="33"/>
        <v>63453181319.431389</v>
      </c>
      <c r="X63" s="184">
        <f t="shared" si="34"/>
        <v>64783776759.014328</v>
      </c>
      <c r="Y63" s="184">
        <f t="shared" si="35"/>
        <v>66154290061.78476</v>
      </c>
      <c r="Z63" s="184">
        <f t="shared" si="36"/>
        <v>67565918763.638298</v>
      </c>
      <c r="AA63" s="184">
        <f t="shared" si="37"/>
        <v>69019896326.547455</v>
      </c>
      <c r="AB63" s="184">
        <f t="shared" si="38"/>
        <v>70517493216.343872</v>
      </c>
    </row>
    <row r="64" spans="1:28" x14ac:dyDescent="0.25">
      <c r="A64" t="str">
        <f t="shared" si="13"/>
        <v>CUSTOM</v>
      </c>
      <c r="B64" t="b">
        <f>IF(COUNTIF(Developed,A64)=1,OTDS!$K$6,OTDS!$K$13)</f>
        <v>0</v>
      </c>
      <c r="C64" s="38">
        <f>IF(B64=FALSE,0,IF(COUNTIF(Developed,A64)=1,IF(RIGHT(OTDS!$D$6,1)="%",OTDS!$L$7,OTDS!$L$7/100),IF(RIGHT(OTDS!$D$6,1)="%",OTDS!$L$14,OTDS!$L$14/100)))</f>
        <v>0</v>
      </c>
      <c r="D64" s="184" t="e">
        <f t="shared" si="14"/>
        <v>#N/A</v>
      </c>
      <c r="E64" s="184" t="e">
        <f t="shared" si="15"/>
        <v>#N/A</v>
      </c>
      <c r="F64" s="184" t="e">
        <f t="shared" si="16"/>
        <v>#N/A</v>
      </c>
      <c r="G64" s="184" t="e">
        <f t="shared" si="17"/>
        <v>#N/A</v>
      </c>
      <c r="H64" s="184" t="e">
        <f t="shared" si="18"/>
        <v>#N/A</v>
      </c>
      <c r="I64" s="184" t="e">
        <f t="shared" si="19"/>
        <v>#N/A</v>
      </c>
      <c r="J64" s="184" t="e">
        <f t="shared" si="20"/>
        <v>#N/A</v>
      </c>
      <c r="K64" s="184" t="e">
        <f t="shared" si="21"/>
        <v>#N/A</v>
      </c>
      <c r="L64" s="184" t="e">
        <f t="shared" si="22"/>
        <v>#N/A</v>
      </c>
      <c r="M64" s="184" t="e">
        <f t="shared" si="23"/>
        <v>#N/A</v>
      </c>
      <c r="N64" s="184" t="e">
        <f t="shared" si="24"/>
        <v>#N/A</v>
      </c>
      <c r="O64" s="184" t="e">
        <f t="shared" si="25"/>
        <v>#N/A</v>
      </c>
      <c r="P64" s="184" t="e">
        <f t="shared" si="26"/>
        <v>#N/A</v>
      </c>
      <c r="Q64" s="184" t="e">
        <f t="shared" si="27"/>
        <v>#N/A</v>
      </c>
      <c r="R64" s="184" t="e">
        <f t="shared" si="28"/>
        <v>#N/A</v>
      </c>
      <c r="S64" s="184" t="e">
        <f t="shared" si="29"/>
        <v>#N/A</v>
      </c>
      <c r="T64" s="184" t="e">
        <f t="shared" si="30"/>
        <v>#N/A</v>
      </c>
      <c r="U64" s="184" t="e">
        <f t="shared" si="31"/>
        <v>#N/A</v>
      </c>
      <c r="V64" s="184" t="e">
        <f t="shared" si="32"/>
        <v>#N/A</v>
      </c>
      <c r="W64" s="184" t="e">
        <f t="shared" si="33"/>
        <v>#N/A</v>
      </c>
      <c r="X64" s="184" t="e">
        <f t="shared" si="34"/>
        <v>#N/A</v>
      </c>
      <c r="Y64" s="184" t="e">
        <f t="shared" si="35"/>
        <v>#N/A</v>
      </c>
      <c r="Z64" s="184" t="e">
        <f t="shared" si="36"/>
        <v>#N/A</v>
      </c>
      <c r="AA64" s="184" t="e">
        <f t="shared" si="37"/>
        <v>#N/A</v>
      </c>
      <c r="AB64" s="184" t="e">
        <f t="shared" si="38"/>
        <v>#N/A</v>
      </c>
    </row>
    <row r="66" spans="1:27" x14ac:dyDescent="0.25">
      <c r="A66" s="203" t="s">
        <v>462</v>
      </c>
      <c r="B66" s="203"/>
      <c r="C66" s="203"/>
    </row>
    <row r="67" spans="1:27" x14ac:dyDescent="0.25">
      <c r="A67" t="s">
        <v>460</v>
      </c>
      <c r="B67" t="s">
        <v>161</v>
      </c>
      <c r="C67">
        <v>2006</v>
      </c>
      <c r="D67">
        <v>2007</v>
      </c>
      <c r="E67">
        <v>2008</v>
      </c>
      <c r="F67">
        <v>2009</v>
      </c>
      <c r="G67">
        <v>2010</v>
      </c>
      <c r="H67">
        <v>2011</v>
      </c>
      <c r="I67">
        <v>2012</v>
      </c>
      <c r="J67">
        <v>2013</v>
      </c>
      <c r="K67">
        <v>2014</v>
      </c>
      <c r="L67">
        <v>2015</v>
      </c>
      <c r="M67">
        <v>2016</v>
      </c>
      <c r="N67">
        <v>2017</v>
      </c>
      <c r="O67">
        <v>2018</v>
      </c>
      <c r="P67">
        <v>2019</v>
      </c>
      <c r="Q67">
        <v>2020</v>
      </c>
      <c r="R67">
        <v>2021</v>
      </c>
      <c r="S67">
        <v>2022</v>
      </c>
      <c r="T67">
        <v>2023</v>
      </c>
      <c r="U67">
        <v>2024</v>
      </c>
      <c r="V67">
        <v>2025</v>
      </c>
      <c r="W67">
        <v>2026</v>
      </c>
      <c r="X67">
        <v>2027</v>
      </c>
      <c r="Y67">
        <v>2028</v>
      </c>
      <c r="Z67">
        <v>2029</v>
      </c>
      <c r="AA67">
        <v>2030</v>
      </c>
    </row>
    <row r="68" spans="1:27" x14ac:dyDescent="0.25">
      <c r="A68" t="b">
        <v>1</v>
      </c>
      <c r="B68" t="str">
        <f>A55</f>
        <v>Australia</v>
      </c>
      <c r="C68" s="3">
        <f>IF($B246,C246,D55)</f>
        <v>2639596400.1312532</v>
      </c>
      <c r="D68" s="3">
        <f t="shared" ref="D68:AA77" si="39">IF($B246,D246,E55)</f>
        <v>3247875400.1312532</v>
      </c>
      <c r="E68" s="3">
        <f t="shared" si="39"/>
        <v>3913574400.1312532</v>
      </c>
      <c r="F68" s="3">
        <f t="shared" si="39"/>
        <v>3419759400.1312532</v>
      </c>
      <c r="G68" s="3">
        <f t="shared" si="39"/>
        <v>3616436400.1312532</v>
      </c>
      <c r="H68" s="3">
        <f t="shared" si="39"/>
        <v>4585201400.1312532</v>
      </c>
      <c r="I68" s="3">
        <f t="shared" si="39"/>
        <v>4710807400.1312532</v>
      </c>
      <c r="J68" s="3">
        <f t="shared" si="39"/>
        <v>4550855400.1312532</v>
      </c>
      <c r="K68" s="3">
        <f t="shared" si="39"/>
        <v>4673937690.1312532</v>
      </c>
      <c r="L68" s="3">
        <f t="shared" si="39"/>
        <v>4800712448.8312531</v>
      </c>
      <c r="M68" s="3">
        <f t="shared" si="39"/>
        <v>4931290450.2922535</v>
      </c>
      <c r="N68" s="3">
        <f t="shared" si="39"/>
        <v>5065785791.7970839</v>
      </c>
      <c r="O68" s="3">
        <f t="shared" si="39"/>
        <v>5204315993.5470581</v>
      </c>
      <c r="P68" s="3">
        <f t="shared" si="39"/>
        <v>5347002101.3495331</v>
      </c>
      <c r="Q68" s="3">
        <f t="shared" si="39"/>
        <v>5493968792.3860817</v>
      </c>
      <c r="R68" s="3">
        <f t="shared" si="39"/>
        <v>5645344484.1537256</v>
      </c>
      <c r="S68" s="3">
        <f t="shared" si="39"/>
        <v>5801261446.6744003</v>
      </c>
      <c r="T68" s="3">
        <f t="shared" si="39"/>
        <v>5961855918.0706949</v>
      </c>
      <c r="U68" s="3">
        <f t="shared" si="39"/>
        <v>6127268223.6088781</v>
      </c>
      <c r="V68" s="3">
        <f t="shared" si="39"/>
        <v>6297642898.3132067</v>
      </c>
      <c r="W68" s="3">
        <f t="shared" si="39"/>
        <v>6473128813.258666</v>
      </c>
      <c r="X68" s="3">
        <f t="shared" si="39"/>
        <v>6653879305.6524887</v>
      </c>
      <c r="Y68" s="3">
        <f t="shared" si="39"/>
        <v>6840052312.8181257</v>
      </c>
      <c r="Z68" s="3">
        <f t="shared" si="39"/>
        <v>7031810510.1987314</v>
      </c>
      <c r="AA68" s="3">
        <f t="shared" si="39"/>
        <v>7229321453.5007563</v>
      </c>
    </row>
    <row r="69" spans="1:27" x14ac:dyDescent="0.25">
      <c r="A69" t="b">
        <v>1</v>
      </c>
      <c r="B69" s="168" t="str">
        <f t="shared" ref="B69:B77" si="40">A56</f>
        <v>Brazil</v>
      </c>
      <c r="C69" s="3">
        <f t="shared" ref="C69:R77" si="41">IF($B247,C247,D56)</f>
        <v>16341193150</v>
      </c>
      <c r="D69" s="3">
        <f t="shared" si="41"/>
        <v>22710165150</v>
      </c>
      <c r="E69" s="3">
        <f t="shared" si="41"/>
        <v>30060091150</v>
      </c>
      <c r="F69" s="3">
        <f t="shared" si="41"/>
        <v>27610459150</v>
      </c>
      <c r="G69" s="3">
        <f t="shared" si="41"/>
        <v>33421571150</v>
      </c>
      <c r="H69" s="3">
        <f t="shared" si="41"/>
        <v>42755149150</v>
      </c>
      <c r="I69" s="3">
        <f t="shared" si="41"/>
        <v>41364295150</v>
      </c>
      <c r="J69" s="3">
        <f t="shared" si="41"/>
        <v>44792417150</v>
      </c>
      <c r="K69" s="3">
        <f t="shared" si="41"/>
        <v>46108826510</v>
      </c>
      <c r="L69" s="3">
        <f t="shared" si="41"/>
        <v>47464728150.800003</v>
      </c>
      <c r="M69" s="3">
        <f t="shared" si="41"/>
        <v>48861306840.824005</v>
      </c>
      <c r="N69" s="3">
        <f t="shared" si="41"/>
        <v>50299782891.548721</v>
      </c>
      <c r="O69" s="3">
        <f t="shared" si="41"/>
        <v>51781413223.795181</v>
      </c>
      <c r="P69" s="3">
        <f t="shared" si="41"/>
        <v>53307492466.009033</v>
      </c>
      <c r="Q69" s="3">
        <f t="shared" si="41"/>
        <v>54879354085.489311</v>
      </c>
      <c r="R69" s="3">
        <f t="shared" si="41"/>
        <v>56498371553.553993</v>
      </c>
      <c r="S69" s="3">
        <f t="shared" si="39"/>
        <v>58165959545.660614</v>
      </c>
      <c r="T69" s="3">
        <f t="shared" si="39"/>
        <v>59883575177.530426</v>
      </c>
      <c r="U69" s="3">
        <f t="shared" si="39"/>
        <v>61652719278.356339</v>
      </c>
      <c r="V69" s="3">
        <f t="shared" si="39"/>
        <v>63474937702.207031</v>
      </c>
      <c r="W69" s="3">
        <f t="shared" si="39"/>
        <v>65351822678.773247</v>
      </c>
      <c r="X69" s="3">
        <f t="shared" si="39"/>
        <v>67285014204.636444</v>
      </c>
      <c r="Y69" s="3">
        <f t="shared" si="39"/>
        <v>69276201476.275543</v>
      </c>
      <c r="Z69" s="3">
        <f t="shared" si="39"/>
        <v>71327124366.063812</v>
      </c>
      <c r="AA69" s="3">
        <f t="shared" si="39"/>
        <v>73439574942.545715</v>
      </c>
    </row>
    <row r="70" spans="1:27" x14ac:dyDescent="0.25">
      <c r="A70" t="b">
        <v>1</v>
      </c>
      <c r="B70" s="168" t="str">
        <f t="shared" si="40"/>
        <v>Canada</v>
      </c>
      <c r="C70" s="3">
        <f t="shared" si="41"/>
        <v>5782343191.1017885</v>
      </c>
      <c r="D70" s="3">
        <f t="shared" si="39"/>
        <v>6260005191.1017885</v>
      </c>
      <c r="E70" s="3">
        <f t="shared" si="39"/>
        <v>7268794191.1017885</v>
      </c>
      <c r="F70" s="3">
        <f t="shared" si="39"/>
        <v>6649163191.1017885</v>
      </c>
      <c r="G70" s="3">
        <f t="shared" si="39"/>
        <v>6687609191.1017885</v>
      </c>
      <c r="H70" s="3">
        <f t="shared" si="39"/>
        <v>7326502191.1017885</v>
      </c>
      <c r="I70" s="3">
        <f t="shared" si="39"/>
        <v>7798103191.1017885</v>
      </c>
      <c r="J70" s="3">
        <f t="shared" si="39"/>
        <v>8182085191.1017885</v>
      </c>
      <c r="K70" s="3">
        <f t="shared" si="39"/>
        <v>8305422031.1017885</v>
      </c>
      <c r="L70" s="3">
        <f t="shared" si="39"/>
        <v>8432458976.3017883</v>
      </c>
      <c r="M70" s="3">
        <f t="shared" si="39"/>
        <v>8563307029.8577881</v>
      </c>
      <c r="N70" s="3">
        <f t="shared" si="39"/>
        <v>8698080525.0204697</v>
      </c>
      <c r="O70" s="3">
        <f t="shared" si="39"/>
        <v>8836897225.0380287</v>
      </c>
      <c r="P70" s="3">
        <f t="shared" si="39"/>
        <v>8979878426.0561161</v>
      </c>
      <c r="Q70" s="3">
        <f t="shared" si="39"/>
        <v>9127149063.1047459</v>
      </c>
      <c r="R70" s="3">
        <f t="shared" si="39"/>
        <v>9278837819.2648354</v>
      </c>
      <c r="S70" s="3">
        <f t="shared" si="39"/>
        <v>9435077238.109726</v>
      </c>
      <c r="T70" s="3">
        <f t="shared" si="39"/>
        <v>9596003839.5199623</v>
      </c>
      <c r="U70" s="3">
        <f t="shared" si="39"/>
        <v>9761758238.9725075</v>
      </c>
      <c r="V70" s="3">
        <f t="shared" si="39"/>
        <v>9932485270.4086304</v>
      </c>
      <c r="W70" s="3">
        <f t="shared" si="39"/>
        <v>10108334112.787834</v>
      </c>
      <c r="X70" s="3">
        <f t="shared" si="39"/>
        <v>10289458420.438416</v>
      </c>
      <c r="Y70" s="3">
        <f t="shared" si="39"/>
        <v>10476016457.318516</v>
      </c>
      <c r="Z70" s="3">
        <f t="shared" si="39"/>
        <v>10668171235.305017</v>
      </c>
      <c r="AA70" s="3">
        <f t="shared" si="39"/>
        <v>10866090656.631115</v>
      </c>
    </row>
    <row r="71" spans="1:27" x14ac:dyDescent="0.25">
      <c r="A71" t="b">
        <v>1</v>
      </c>
      <c r="B71" s="168" t="str">
        <f t="shared" si="40"/>
        <v>China</v>
      </c>
      <c r="C71" s="3">
        <f t="shared" si="41"/>
        <v>87233609600</v>
      </c>
      <c r="D71" s="3">
        <f t="shared" si="39"/>
        <v>104454619800</v>
      </c>
      <c r="E71" s="3">
        <f t="shared" si="39"/>
        <v>130685985300.00002</v>
      </c>
      <c r="F71" s="3">
        <f t="shared" si="39"/>
        <v>131736575100.00002</v>
      </c>
      <c r="G71" s="3">
        <f t="shared" si="39"/>
        <v>150826621400</v>
      </c>
      <c r="H71" s="3">
        <f t="shared" si="39"/>
        <v>195952575700</v>
      </c>
      <c r="I71" s="3">
        <f t="shared" si="39"/>
        <v>209051862800</v>
      </c>
      <c r="J71" s="3">
        <f t="shared" si="39"/>
        <v>218381903100.00003</v>
      </c>
      <c r="K71" s="3">
        <f t="shared" si="39"/>
        <v>224933360193.00003</v>
      </c>
      <c r="L71" s="3">
        <f t="shared" si="39"/>
        <v>231681360998.79001</v>
      </c>
      <c r="M71" s="3">
        <f t="shared" si="39"/>
        <v>238631801828.75372</v>
      </c>
      <c r="N71" s="3">
        <f t="shared" si="39"/>
        <v>245790755883.61636</v>
      </c>
      <c r="O71" s="3">
        <f t="shared" si="39"/>
        <v>253164478560.12485</v>
      </c>
      <c r="P71" s="3">
        <f t="shared" si="39"/>
        <v>260759412916.92859</v>
      </c>
      <c r="Q71" s="3">
        <f t="shared" si="39"/>
        <v>268582195304.43643</v>
      </c>
      <c r="R71" s="3">
        <f t="shared" si="39"/>
        <v>276639661163.56952</v>
      </c>
      <c r="S71" s="3">
        <f t="shared" si="39"/>
        <v>284938850998.47662</v>
      </c>
      <c r="T71" s="3">
        <f t="shared" si="39"/>
        <v>293487016528.43097</v>
      </c>
      <c r="U71" s="3">
        <f t="shared" si="39"/>
        <v>302291627024.28387</v>
      </c>
      <c r="V71" s="3">
        <f t="shared" si="39"/>
        <v>311360375835.01239</v>
      </c>
      <c r="W71" s="3">
        <f t="shared" si="39"/>
        <v>320701187110.06274</v>
      </c>
      <c r="X71" s="3">
        <f t="shared" si="39"/>
        <v>330322222723.36462</v>
      </c>
      <c r="Y71" s="3">
        <f t="shared" si="39"/>
        <v>340231889405.06555</v>
      </c>
      <c r="Z71" s="3">
        <f t="shared" si="39"/>
        <v>350438846087.21753</v>
      </c>
      <c r="AA71" s="3">
        <f t="shared" si="39"/>
        <v>360952011469.83405</v>
      </c>
    </row>
    <row r="72" spans="1:27" x14ac:dyDescent="0.25">
      <c r="A72" t="b">
        <v>1</v>
      </c>
      <c r="B72" s="168" t="str">
        <f t="shared" si="40"/>
        <v>European Union</v>
      </c>
      <c r="C72" s="3">
        <f t="shared" si="41"/>
        <v>125135495795.58807</v>
      </c>
      <c r="D72" s="3">
        <f t="shared" si="39"/>
        <v>131395538795.58807</v>
      </c>
      <c r="E72" s="3">
        <f t="shared" si="39"/>
        <v>136316061795.58807</v>
      </c>
      <c r="F72" s="3">
        <f t="shared" si="39"/>
        <v>128273123795.58807</v>
      </c>
      <c r="G72" s="3">
        <f t="shared" si="39"/>
        <v>129824164795.58807</v>
      </c>
      <c r="H72" s="3">
        <f t="shared" si="39"/>
        <v>135701684795.58807</v>
      </c>
      <c r="I72" s="3">
        <f t="shared" si="39"/>
        <v>133145876795.58807</v>
      </c>
      <c r="J72" s="3">
        <f t="shared" si="39"/>
        <v>135721475795.58807</v>
      </c>
      <c r="K72" s="3">
        <f t="shared" si="39"/>
        <v>136961809085.58807</v>
      </c>
      <c r="L72" s="3">
        <f t="shared" si="39"/>
        <v>138239352374.28809</v>
      </c>
      <c r="M72" s="3">
        <f t="shared" si="39"/>
        <v>139555221961.64908</v>
      </c>
      <c r="N72" s="3">
        <f t="shared" si="39"/>
        <v>140910567636.63092</v>
      </c>
      <c r="O72" s="3">
        <f t="shared" si="39"/>
        <v>142306573681.86218</v>
      </c>
      <c r="P72" s="3">
        <f t="shared" si="39"/>
        <v>143744459908.45041</v>
      </c>
      <c r="Q72" s="3">
        <f t="shared" si="39"/>
        <v>145225482721.8363</v>
      </c>
      <c r="R72" s="3">
        <f t="shared" si="39"/>
        <v>146750936219.62372</v>
      </c>
      <c r="S72" s="3">
        <f t="shared" si="39"/>
        <v>148322153322.34479</v>
      </c>
      <c r="T72" s="3">
        <f t="shared" si="39"/>
        <v>149940506938.14749</v>
      </c>
      <c r="U72" s="3">
        <f t="shared" si="39"/>
        <v>151607411162.42429</v>
      </c>
      <c r="V72" s="3">
        <f t="shared" si="39"/>
        <v>153324322513.42938</v>
      </c>
      <c r="W72" s="3">
        <f t="shared" si="39"/>
        <v>155092741204.9646</v>
      </c>
      <c r="X72" s="3">
        <f t="shared" si="39"/>
        <v>156914212457.24591</v>
      </c>
      <c r="Y72" s="3">
        <f t="shared" si="39"/>
        <v>158790327847.09564</v>
      </c>
      <c r="Z72" s="3">
        <f t="shared" si="39"/>
        <v>160722726698.64087</v>
      </c>
      <c r="AA72" s="3">
        <f t="shared" si="39"/>
        <v>162713097515.73245</v>
      </c>
    </row>
    <row r="73" spans="1:27" x14ac:dyDescent="0.25">
      <c r="A73" t="b">
        <v>1</v>
      </c>
      <c r="B73" s="168" t="str">
        <f t="shared" si="40"/>
        <v>India</v>
      </c>
      <c r="C73" s="3">
        <f t="shared" si="41"/>
        <v>31111702000</v>
      </c>
      <c r="D73" s="3">
        <f t="shared" si="39"/>
        <v>39926360000</v>
      </c>
      <c r="E73" s="3">
        <f t="shared" si="39"/>
        <v>43012342000</v>
      </c>
      <c r="F73" s="3">
        <f t="shared" si="39"/>
        <v>41379604000</v>
      </c>
      <c r="G73" s="3">
        <f t="shared" si="39"/>
        <v>46126178000</v>
      </c>
      <c r="H73" s="3">
        <f t="shared" si="39"/>
        <v>49472700000</v>
      </c>
      <c r="I73" s="3">
        <f t="shared" si="39"/>
        <v>47734470000</v>
      </c>
      <c r="J73" s="3">
        <f t="shared" si="39"/>
        <v>51356354000</v>
      </c>
      <c r="K73" s="3">
        <f t="shared" si="39"/>
        <v>52897044620</v>
      </c>
      <c r="L73" s="3">
        <f t="shared" si="39"/>
        <v>54483955958.600006</v>
      </c>
      <c r="M73" s="3">
        <f t="shared" si="39"/>
        <v>56118474637.358002</v>
      </c>
      <c r="N73" s="3">
        <f t="shared" si="39"/>
        <v>57802028876.478737</v>
      </c>
      <c r="O73" s="3">
        <f t="shared" si="39"/>
        <v>59536089742.773102</v>
      </c>
      <c r="P73" s="3">
        <f t="shared" si="39"/>
        <v>61322172435.05629</v>
      </c>
      <c r="Q73" s="3">
        <f t="shared" si="39"/>
        <v>63161837608.107971</v>
      </c>
      <c r="R73" s="3">
        <f t="shared" si="39"/>
        <v>65056692736.351212</v>
      </c>
      <c r="S73" s="3">
        <f t="shared" si="39"/>
        <v>67008393518.44175</v>
      </c>
      <c r="T73" s="3">
        <f t="shared" si="39"/>
        <v>69018645323.994995</v>
      </c>
      <c r="U73" s="3">
        <f t="shared" si="39"/>
        <v>71089204683.714844</v>
      </c>
      <c r="V73" s="3">
        <f t="shared" si="39"/>
        <v>73221880824.226303</v>
      </c>
      <c r="W73" s="3">
        <f t="shared" si="39"/>
        <v>75418537248.953094</v>
      </c>
      <c r="X73" s="3">
        <f t="shared" si="39"/>
        <v>77681093366.421677</v>
      </c>
      <c r="Y73" s="3">
        <f t="shared" si="39"/>
        <v>80011526167.414337</v>
      </c>
      <c r="Z73" s="3">
        <f t="shared" si="39"/>
        <v>82411871952.436768</v>
      </c>
      <c r="AA73" s="3">
        <f t="shared" si="39"/>
        <v>84884228111.009872</v>
      </c>
    </row>
    <row r="74" spans="1:27" x14ac:dyDescent="0.25">
      <c r="A74" t="b">
        <v>1</v>
      </c>
      <c r="B74" s="168" t="str">
        <f t="shared" si="40"/>
        <v>Indonesia</v>
      </c>
      <c r="C74" s="3">
        <f t="shared" si="41"/>
        <v>9216450000</v>
      </c>
      <c r="D74" s="3">
        <f t="shared" si="39"/>
        <v>10985478000</v>
      </c>
      <c r="E74" s="3">
        <f t="shared" si="39"/>
        <v>13481302000</v>
      </c>
      <c r="F74" s="3">
        <f t="shared" si="39"/>
        <v>13559770000.000002</v>
      </c>
      <c r="G74" s="3">
        <f t="shared" si="39"/>
        <v>18491138000</v>
      </c>
      <c r="H74" s="3">
        <f t="shared" si="39"/>
        <v>28223174000</v>
      </c>
      <c r="I74" s="3">
        <f t="shared" si="39"/>
        <v>28859560000</v>
      </c>
      <c r="J74" s="3">
        <f t="shared" si="39"/>
        <v>25209368000</v>
      </c>
      <c r="K74" s="3">
        <f t="shared" si="39"/>
        <v>25965649040</v>
      </c>
      <c r="L74" s="3">
        <f t="shared" si="39"/>
        <v>26744618511.200001</v>
      </c>
      <c r="M74" s="3">
        <f t="shared" si="39"/>
        <v>27546957066.535999</v>
      </c>
      <c r="N74" s="3">
        <f t="shared" si="39"/>
        <v>28373365778.532082</v>
      </c>
      <c r="O74" s="3">
        <f t="shared" si="39"/>
        <v>29224566751.888046</v>
      </c>
      <c r="P74" s="3">
        <f t="shared" si="39"/>
        <v>30101303754.444687</v>
      </c>
      <c r="Q74" s="3">
        <f t="shared" si="39"/>
        <v>31004342867.07803</v>
      </c>
      <c r="R74" s="3">
        <f t="shared" si="39"/>
        <v>31934473153.09037</v>
      </c>
      <c r="S74" s="3">
        <f t="shared" si="39"/>
        <v>32892507347.683083</v>
      </c>
      <c r="T74" s="3">
        <f t="shared" si="39"/>
        <v>33879282568.113575</v>
      </c>
      <c r="U74" s="3">
        <f t="shared" si="39"/>
        <v>34895661045.156982</v>
      </c>
      <c r="V74" s="3">
        <f t="shared" si="39"/>
        <v>35942530876.511696</v>
      </c>
      <c r="W74" s="3">
        <f t="shared" si="39"/>
        <v>37020806802.807045</v>
      </c>
      <c r="X74" s="3">
        <f t="shared" si="39"/>
        <v>38131431006.891258</v>
      </c>
      <c r="Y74" s="3">
        <f t="shared" si="39"/>
        <v>39275373937.097992</v>
      </c>
      <c r="Z74" s="3">
        <f t="shared" si="39"/>
        <v>40453635155.21093</v>
      </c>
      <c r="AA74" s="3">
        <f t="shared" si="39"/>
        <v>41667244209.867264</v>
      </c>
    </row>
    <row r="75" spans="1:27" x14ac:dyDescent="0.25">
      <c r="A75" t="b">
        <v>1</v>
      </c>
      <c r="B75" s="168" t="str">
        <f t="shared" si="40"/>
        <v>Japan</v>
      </c>
      <c r="C75" s="3">
        <f t="shared" si="41"/>
        <v>46384205111.95343</v>
      </c>
      <c r="D75" s="3">
        <f t="shared" si="39"/>
        <v>46139829111.95343</v>
      </c>
      <c r="E75" s="3">
        <f t="shared" si="39"/>
        <v>46988349111.95343</v>
      </c>
      <c r="F75" s="3">
        <f t="shared" si="39"/>
        <v>47470963111.95343</v>
      </c>
      <c r="G75" s="3">
        <f t="shared" si="39"/>
        <v>48067160111.95343</v>
      </c>
      <c r="H75" s="3">
        <f t="shared" si="39"/>
        <v>48491804111.95343</v>
      </c>
      <c r="I75" s="3">
        <f t="shared" si="39"/>
        <v>48991799111.95343</v>
      </c>
      <c r="J75" s="3">
        <f t="shared" si="39"/>
        <v>47412534111.95343</v>
      </c>
      <c r="K75" s="3">
        <f t="shared" si="39"/>
        <v>47625976401.95343</v>
      </c>
      <c r="L75" s="3">
        <f t="shared" si="39"/>
        <v>47845821960.653427</v>
      </c>
      <c r="M75" s="3">
        <f t="shared" si="39"/>
        <v>48072262886.114433</v>
      </c>
      <c r="N75" s="3">
        <f t="shared" si="39"/>
        <v>48305497039.339264</v>
      </c>
      <c r="O75" s="3">
        <f t="shared" si="39"/>
        <v>48545728217.160835</v>
      </c>
      <c r="P75" s="3">
        <f t="shared" si="39"/>
        <v>48793166330.317062</v>
      </c>
      <c r="Q75" s="3">
        <f t="shared" si="39"/>
        <v>49048027586.867966</v>
      </c>
      <c r="R75" s="3">
        <f t="shared" si="39"/>
        <v>49310534681.115402</v>
      </c>
      <c r="S75" s="3">
        <f t="shared" si="39"/>
        <v>49580916988.190262</v>
      </c>
      <c r="T75" s="3">
        <f t="shared" si="39"/>
        <v>49859410764.477371</v>
      </c>
      <c r="U75" s="3">
        <f t="shared" si="39"/>
        <v>50146259354.053085</v>
      </c>
      <c r="V75" s="3">
        <f t="shared" si="39"/>
        <v>50441713401.316078</v>
      </c>
      <c r="W75" s="3">
        <f t="shared" si="39"/>
        <v>50746031069.996956</v>
      </c>
      <c r="X75" s="3">
        <f t="shared" si="39"/>
        <v>51059478268.738266</v>
      </c>
      <c r="Y75" s="3">
        <f t="shared" si="39"/>
        <v>51382328883.441803</v>
      </c>
      <c r="Z75" s="3">
        <f t="shared" si="39"/>
        <v>51714865016.586456</v>
      </c>
      <c r="AA75" s="3">
        <f t="shared" si="39"/>
        <v>52057377233.725449</v>
      </c>
    </row>
    <row r="76" spans="1:27" x14ac:dyDescent="0.25">
      <c r="A76" t="b">
        <v>1</v>
      </c>
      <c r="B76" s="168" t="str">
        <f t="shared" si="40"/>
        <v>United States of America</v>
      </c>
      <c r="C76" s="3">
        <f t="shared" si="41"/>
        <v>37275354000</v>
      </c>
      <c r="D76" s="3">
        <f t="shared" si="39"/>
        <v>43507358000</v>
      </c>
      <c r="E76" s="3">
        <f t="shared" si="39"/>
        <v>44029063000</v>
      </c>
      <c r="F76" s="3">
        <f t="shared" si="39"/>
        <v>41804075000</v>
      </c>
      <c r="G76" s="3">
        <f t="shared" si="39"/>
        <v>46696855000</v>
      </c>
      <c r="H76" s="3">
        <f t="shared" si="39"/>
        <v>49508893000</v>
      </c>
      <c r="I76" s="3">
        <f t="shared" si="39"/>
        <v>50668008000</v>
      </c>
      <c r="J76" s="3">
        <f t="shared" si="39"/>
        <v>50208429000</v>
      </c>
      <c r="K76" s="3">
        <f t="shared" si="39"/>
        <v>51141681870</v>
      </c>
      <c r="L76" s="3">
        <f t="shared" si="39"/>
        <v>52102932326.100006</v>
      </c>
      <c r="M76" s="3">
        <f t="shared" si="39"/>
        <v>53093020295.883003</v>
      </c>
      <c r="N76" s="3">
        <f t="shared" si="39"/>
        <v>54112810904.759491</v>
      </c>
      <c r="O76" s="3">
        <f t="shared" si="39"/>
        <v>55163195231.902275</v>
      </c>
      <c r="P76" s="3">
        <f t="shared" si="39"/>
        <v>56245091088.859344</v>
      </c>
      <c r="Q76" s="3">
        <f t="shared" si="39"/>
        <v>57359443821.525124</v>
      </c>
      <c r="R76" s="3">
        <f t="shared" si="39"/>
        <v>58507227136.170876</v>
      </c>
      <c r="S76" s="3">
        <f t="shared" si="39"/>
        <v>59689443950.256004</v>
      </c>
      <c r="T76" s="3">
        <f t="shared" si="39"/>
        <v>60907127268.76368</v>
      </c>
      <c r="U76" s="3">
        <f t="shared" si="39"/>
        <v>62161341086.826591</v>
      </c>
      <c r="V76" s="3">
        <f t="shared" si="39"/>
        <v>63453181319.431389</v>
      </c>
      <c r="W76" s="3">
        <f t="shared" si="39"/>
        <v>64783776759.014328</v>
      </c>
      <c r="X76" s="3">
        <f t="shared" si="39"/>
        <v>66154290061.78476</v>
      </c>
      <c r="Y76" s="3">
        <f t="shared" si="39"/>
        <v>67565918763.638298</v>
      </c>
      <c r="Z76" s="3">
        <f t="shared" si="39"/>
        <v>69019896326.547455</v>
      </c>
      <c r="AA76" s="3">
        <f t="shared" si="39"/>
        <v>70517493216.343872</v>
      </c>
    </row>
    <row r="77" spans="1:27" x14ac:dyDescent="0.25">
      <c r="A77" t="b">
        <v>1</v>
      </c>
      <c r="B77" s="168" t="str">
        <f t="shared" si="40"/>
        <v>CUSTOM</v>
      </c>
      <c r="C77" s="3" t="e">
        <f t="shared" si="41"/>
        <v>#N/A</v>
      </c>
      <c r="D77" s="3" t="e">
        <f t="shared" si="39"/>
        <v>#N/A</v>
      </c>
      <c r="E77" s="3" t="e">
        <f t="shared" si="39"/>
        <v>#N/A</v>
      </c>
      <c r="F77" s="3" t="e">
        <f t="shared" si="39"/>
        <v>#N/A</v>
      </c>
      <c r="G77" s="3" t="e">
        <f t="shared" si="39"/>
        <v>#N/A</v>
      </c>
      <c r="H77" s="3" t="e">
        <f t="shared" si="39"/>
        <v>#N/A</v>
      </c>
      <c r="I77" s="3" t="e">
        <f t="shared" si="39"/>
        <v>#N/A</v>
      </c>
      <c r="J77" s="3" t="e">
        <f t="shared" si="39"/>
        <v>#N/A</v>
      </c>
      <c r="K77" s="3" t="e">
        <f t="shared" si="39"/>
        <v>#N/A</v>
      </c>
      <c r="L77" s="3" t="e">
        <f t="shared" si="39"/>
        <v>#N/A</v>
      </c>
      <c r="M77" s="3" t="e">
        <f t="shared" si="39"/>
        <v>#N/A</v>
      </c>
      <c r="N77" s="3" t="e">
        <f t="shared" si="39"/>
        <v>#N/A</v>
      </c>
      <c r="O77" s="3" t="e">
        <f t="shared" si="39"/>
        <v>#N/A</v>
      </c>
      <c r="P77" s="3" t="e">
        <f t="shared" si="39"/>
        <v>#N/A</v>
      </c>
      <c r="Q77" s="3" t="e">
        <f t="shared" si="39"/>
        <v>#N/A</v>
      </c>
      <c r="R77" s="3" t="e">
        <f t="shared" si="39"/>
        <v>#N/A</v>
      </c>
      <c r="S77" s="3" t="e">
        <f t="shared" si="39"/>
        <v>#N/A</v>
      </c>
      <c r="T77" s="3" t="e">
        <f t="shared" si="39"/>
        <v>#N/A</v>
      </c>
      <c r="U77" s="3" t="e">
        <f t="shared" si="39"/>
        <v>#N/A</v>
      </c>
      <c r="V77" s="3" t="e">
        <f t="shared" si="39"/>
        <v>#N/A</v>
      </c>
      <c r="W77" s="3" t="e">
        <f t="shared" si="39"/>
        <v>#N/A</v>
      </c>
      <c r="X77" s="3" t="e">
        <f t="shared" si="39"/>
        <v>#N/A</v>
      </c>
      <c r="Y77" s="3" t="e">
        <f t="shared" si="39"/>
        <v>#N/A</v>
      </c>
      <c r="Z77" s="3" t="e">
        <f t="shared" si="39"/>
        <v>#N/A</v>
      </c>
      <c r="AA77" s="3" t="e">
        <f t="shared" si="39"/>
        <v>#N/A</v>
      </c>
    </row>
    <row r="78" spans="1:27" x14ac:dyDescent="0.25">
      <c r="C78" s="3"/>
      <c r="D78" s="3"/>
      <c r="E78" s="3"/>
      <c r="F78" s="3"/>
      <c r="G78" s="3"/>
      <c r="H78" s="3"/>
      <c r="I78" s="3"/>
      <c r="J78" s="3"/>
      <c r="K78" s="3"/>
      <c r="L78" s="3"/>
      <c r="M78" s="3"/>
      <c r="N78" s="3"/>
      <c r="O78" s="3"/>
      <c r="P78" s="3"/>
      <c r="Q78" s="3"/>
      <c r="R78" s="3"/>
      <c r="S78" s="3"/>
      <c r="T78" s="3"/>
      <c r="U78" s="3"/>
      <c r="V78" s="3"/>
      <c r="W78" s="3"/>
      <c r="X78" s="3"/>
      <c r="Y78" s="3"/>
      <c r="Z78" s="3"/>
      <c r="AA78" s="3"/>
    </row>
    <row r="79" spans="1:27" x14ac:dyDescent="0.25">
      <c r="A79" s="203" t="s">
        <v>457</v>
      </c>
      <c r="B79" s="203"/>
      <c r="C79" s="203"/>
    </row>
    <row r="80" spans="1:27" x14ac:dyDescent="0.25">
      <c r="A80" t="s">
        <v>460</v>
      </c>
      <c r="B80" t="str">
        <f>A54</f>
        <v>Member</v>
      </c>
      <c r="C80">
        <v>2006</v>
      </c>
      <c r="D80">
        <v>2007</v>
      </c>
      <c r="E80">
        <v>2008</v>
      </c>
      <c r="F80">
        <v>2009</v>
      </c>
      <c r="G80">
        <v>2010</v>
      </c>
      <c r="H80">
        <v>2011</v>
      </c>
      <c r="I80">
        <v>2012</v>
      </c>
      <c r="J80">
        <v>2013</v>
      </c>
      <c r="K80">
        <v>2014</v>
      </c>
      <c r="L80">
        <v>2015</v>
      </c>
      <c r="M80">
        <v>2016</v>
      </c>
      <c r="N80">
        <v>2017</v>
      </c>
      <c r="O80">
        <v>2018</v>
      </c>
      <c r="P80">
        <v>2019</v>
      </c>
      <c r="Q80">
        <v>2020</v>
      </c>
      <c r="R80">
        <v>2021</v>
      </c>
      <c r="S80">
        <v>2022</v>
      </c>
      <c r="T80">
        <v>2023</v>
      </c>
      <c r="U80">
        <v>2024</v>
      </c>
      <c r="V80">
        <v>2025</v>
      </c>
      <c r="W80">
        <v>2026</v>
      </c>
      <c r="X80">
        <v>2027</v>
      </c>
      <c r="Y80">
        <v>2028</v>
      </c>
      <c r="Z80">
        <v>2029</v>
      </c>
      <c r="AA80">
        <v>2030</v>
      </c>
    </row>
    <row r="81" spans="1:27" x14ac:dyDescent="0.25">
      <c r="A81" t="b">
        <f>A68</f>
        <v>1</v>
      </c>
      <c r="B81" t="str">
        <f>A55</f>
        <v>Australia</v>
      </c>
      <c r="C81" s="3">
        <f>0+IF(OTDS!$B$20,VLOOKUP($B81,OTDS_AMS_DM_Spending,'OTDS Tab Calculations'!C$80-2003,FALSE),0)+IF(OTDS!$G$20,VLOOKUP($B81,OTDS_BlueBox_Spending,'OTDS Tab Calculations'!C$80-2003,FALSE),0)+IF(OTDS!$J$20,VLOOKUP($B81,OTDS_Article62_Spending,'OTDS Tab Calculations'!C$80-2003,FALSE),0)</f>
        <v>166631144.80053294</v>
      </c>
      <c r="D81" s="3">
        <f>0+IF(OTDS!$B$20,VLOOKUP($B81,OTDS_AMS_DM_Spending,'OTDS Tab Calculations'!D$80-2003,FALSE),0)+IF(OTDS!$G$20,VLOOKUP($B81,OTDS_BlueBox_Spending,'OTDS Tab Calculations'!D$80-2003,FALSE),0)+IF(OTDS!$J$20,VLOOKUP($B81,OTDS_Article62_Spending,'OTDS Tab Calculations'!D$80-2003,FALSE),0)</f>
        <v>176662877.05188915</v>
      </c>
      <c r="E81" s="3">
        <f>0+IF(OTDS!$B$20,VLOOKUP($B81,OTDS_AMS_DM_Spending,'OTDS Tab Calculations'!E$80-2003,FALSE),0)+IF(OTDS!$G$20,VLOOKUP($B81,OTDS_BlueBox_Spending,'OTDS Tab Calculations'!E$80-2003,FALSE),0)+IF(OTDS!$J$20,VLOOKUP($B81,OTDS_Article62_Spending,'OTDS Tab Calculations'!E$80-2003,FALSE),0)</f>
        <v>299175747.1108681</v>
      </c>
      <c r="F81" s="3">
        <f>0+IF(OTDS!$B$20,VLOOKUP($B81,OTDS_AMS_DM_Spending,'OTDS Tab Calculations'!F$80-2003,FALSE),0)+IF(OTDS!$G$20,VLOOKUP($B81,OTDS_BlueBox_Spending,'OTDS Tab Calculations'!F$80-2003,FALSE),0)+IF(OTDS!$J$20,VLOOKUP($B81,OTDS_Article62_Spending,'OTDS Tab Calculations'!F$80-2003,FALSE),0)</f>
        <v>129880559</v>
      </c>
      <c r="G81" s="3">
        <f>0+IF(OTDS!$B$20,VLOOKUP($B81,OTDS_AMS_DM_Spending,'OTDS Tab Calculations'!G$80-2003,FALSE),0)+IF(OTDS!$G$20,VLOOKUP($B81,OTDS_BlueBox_Spending,'OTDS Tab Calculations'!G$80-2003,FALSE),0)+IF(OTDS!$J$20,VLOOKUP($B81,OTDS_Article62_Spending,'OTDS Tab Calculations'!G$80-2003,FALSE),0)</f>
        <v>56828394</v>
      </c>
      <c r="H81" s="3">
        <f>0+IF(OTDS!$B$20,VLOOKUP($B81,OTDS_AMS_DM_Spending,'OTDS Tab Calculations'!H$80-2003,FALSE),0)+IF(OTDS!$G$20,VLOOKUP($B81,OTDS_BlueBox_Spending,'OTDS Tab Calculations'!H$80-2003,FALSE),0)+IF(OTDS!$J$20,VLOOKUP($B81,OTDS_Article62_Spending,'OTDS Tab Calculations'!H$80-2003,FALSE),0)</f>
        <v>90330986</v>
      </c>
      <c r="I81" s="3">
        <f>0+IF(OTDS!$B$20,VLOOKUP($B81,OTDS_AMS_DM_Spending,'OTDS Tab Calculations'!I$80-2003,FALSE),0)+IF(OTDS!$G$20,VLOOKUP($B81,OTDS_BlueBox_Spending,'OTDS Tab Calculations'!I$80-2003,FALSE),0)+IF(OTDS!$J$20,VLOOKUP($B81,OTDS_Article62_Spending,'OTDS Tab Calculations'!I$80-2003,FALSE),0)</f>
        <v>260301069</v>
      </c>
      <c r="J81" s="3">
        <f>0+IF(OTDS!$B$20,VLOOKUP($B81,OTDS_AMS_DM_Spending,'OTDS Tab Calculations'!J$80-2003,FALSE),0)+IF(OTDS!$G$20,VLOOKUP($B81,OTDS_BlueBox_Spending,'OTDS Tab Calculations'!J$80-2003,FALSE),0)+IF(OTDS!$J$20,VLOOKUP($B81,OTDS_Article62_Spending,'OTDS Tab Calculations'!J$80-2003,FALSE),0)</f>
        <v>277118433</v>
      </c>
      <c r="K81" s="3">
        <f>0+IF(OTDS!$B$20,VLOOKUP($B81,OTDS_AMS_DM_Spending,'OTDS Tab Calculations'!K$80-2003,FALSE),0)+IF(OTDS!$G$20,VLOOKUP($B81,OTDS_BlueBox_Spending,'OTDS Tab Calculations'!K$80-2003,FALSE),0)+IF(OTDS!$J$20,VLOOKUP($B81,OTDS_Article62_Spending,'OTDS Tab Calculations'!K$80-2003,FALSE),0)</f>
        <v>203951985</v>
      </c>
      <c r="L81" s="3">
        <f>0+IF(OTDS!$B$20,VLOOKUP($B81,OTDS_AMS_DM_Spending,'OTDS Tab Calculations'!L$80-2003,FALSE),0)+IF(OTDS!$G$20,VLOOKUP($B81,OTDS_BlueBox_Spending,'OTDS Tab Calculations'!L$80-2003,FALSE),0)+IF(OTDS!$J$20,VLOOKUP($B81,OTDS_Article62_Spending,'OTDS Tab Calculations'!L$80-2003,FALSE),0)</f>
        <v>210070544.55000001</v>
      </c>
      <c r="M81" s="3">
        <f>0+IF(OTDS!$B$20,VLOOKUP($B81,OTDS_AMS_DM_Spending,'OTDS Tab Calculations'!M$80-2003,FALSE),0)+IF(OTDS!$G$20,VLOOKUP($B81,OTDS_BlueBox_Spending,'OTDS Tab Calculations'!M$80-2003,FALSE),0)+IF(OTDS!$J$20,VLOOKUP($B81,OTDS_Article62_Spending,'OTDS Tab Calculations'!M$80-2003,FALSE),0)</f>
        <v>216372660.8865</v>
      </c>
      <c r="N81" s="3">
        <f>0+IF(OTDS!$B$20,VLOOKUP($B81,OTDS_AMS_DM_Spending,'OTDS Tab Calculations'!N$80-2003,FALSE),0)+IF(OTDS!$G$20,VLOOKUP($B81,OTDS_BlueBox_Spending,'OTDS Tab Calculations'!N$80-2003,FALSE),0)+IF(OTDS!$J$20,VLOOKUP($B81,OTDS_Article62_Spending,'OTDS Tab Calculations'!N$80-2003,FALSE),0)</f>
        <v>222863840.71309501</v>
      </c>
      <c r="O81" s="3">
        <f>0+IF(OTDS!$B$20,VLOOKUP($B81,OTDS_AMS_DM_Spending,'OTDS Tab Calculations'!O$80-2003,FALSE),0)+IF(OTDS!$G$20,VLOOKUP($B81,OTDS_BlueBox_Spending,'OTDS Tab Calculations'!O$80-2003,FALSE),0)+IF(OTDS!$J$20,VLOOKUP($B81,OTDS_Article62_Spending,'OTDS Tab Calculations'!O$80-2003,FALSE),0)</f>
        <v>229549755.93448785</v>
      </c>
      <c r="P81" s="3">
        <f>0+IF(OTDS!$B$20,VLOOKUP($B81,OTDS_AMS_DM_Spending,'OTDS Tab Calculations'!P$80-2003,FALSE),0)+IF(OTDS!$G$20,VLOOKUP($B81,OTDS_BlueBox_Spending,'OTDS Tab Calculations'!P$80-2003,FALSE),0)+IF(OTDS!$J$20,VLOOKUP($B81,OTDS_Article62_Spending,'OTDS Tab Calculations'!P$80-2003,FALSE),0)</f>
        <v>236436248.61252248</v>
      </c>
      <c r="Q81" s="3">
        <f>0+IF(OTDS!$B$20,VLOOKUP($B81,OTDS_AMS_DM_Spending,'OTDS Tab Calculations'!Q$80-2003,FALSE),0)+IF(OTDS!$G$20,VLOOKUP($B81,OTDS_BlueBox_Spending,'OTDS Tab Calculations'!Q$80-2003,FALSE),0)+IF(OTDS!$J$20,VLOOKUP($B81,OTDS_Article62_Spending,'OTDS Tab Calculations'!Q$80-2003,FALSE),0)</f>
        <v>243529336.07089815</v>
      </c>
      <c r="R81" s="3">
        <f>0+IF(OTDS!$B$20,VLOOKUP($B81,OTDS_AMS_DM_Spending,'OTDS Tab Calculations'!R$80-2003,FALSE),0)+IF(OTDS!$G$20,VLOOKUP($B81,OTDS_BlueBox_Spending,'OTDS Tab Calculations'!R$80-2003,FALSE),0)+IF(OTDS!$J$20,VLOOKUP($B81,OTDS_Article62_Spending,'OTDS Tab Calculations'!R$80-2003,FALSE),0)</f>
        <v>250835216.15302509</v>
      </c>
      <c r="S81" s="3">
        <f>0+IF(OTDS!$B$20,VLOOKUP($B81,OTDS_AMS_DM_Spending,'OTDS Tab Calculations'!S$80-2003,FALSE),0)+IF(OTDS!$G$20,VLOOKUP($B81,OTDS_BlueBox_Spending,'OTDS Tab Calculations'!S$80-2003,FALSE),0)+IF(OTDS!$J$20,VLOOKUP($B81,OTDS_Article62_Spending,'OTDS Tab Calculations'!S$80-2003,FALSE),0)</f>
        <v>258360272.63761583</v>
      </c>
      <c r="T81" s="3">
        <f>0+IF(OTDS!$B$20,VLOOKUP($B81,OTDS_AMS_DM_Spending,'OTDS Tab Calculations'!T$80-2003,FALSE),0)+IF(OTDS!$G$20,VLOOKUP($B81,OTDS_BlueBox_Spending,'OTDS Tab Calculations'!T$80-2003,FALSE),0)+IF(OTDS!$J$20,VLOOKUP($B81,OTDS_Article62_Spending,'OTDS Tab Calculations'!T$80-2003,FALSE),0)</f>
        <v>266111080.8167443</v>
      </c>
      <c r="U81" s="3">
        <f>0+IF(OTDS!$B$20,VLOOKUP($B81,OTDS_AMS_DM_Spending,'OTDS Tab Calculations'!U$80-2003,FALSE),0)+IF(OTDS!$G$20,VLOOKUP($B81,OTDS_BlueBox_Spending,'OTDS Tab Calculations'!U$80-2003,FALSE),0)+IF(OTDS!$J$20,VLOOKUP($B81,OTDS_Article62_Spending,'OTDS Tab Calculations'!U$80-2003,FALSE),0)</f>
        <v>274094413.24124664</v>
      </c>
      <c r="V81" s="3">
        <f>0+IF(OTDS!$B$20,VLOOKUP($B81,OTDS_AMS_DM_Spending,'OTDS Tab Calculations'!V$80-2003,FALSE),0)+IF(OTDS!$G$20,VLOOKUP($B81,OTDS_BlueBox_Spending,'OTDS Tab Calculations'!V$80-2003,FALSE),0)+IF(OTDS!$J$20,VLOOKUP($B81,OTDS_Article62_Spending,'OTDS Tab Calculations'!V$80-2003,FALSE),0)</f>
        <v>282317245.63848406</v>
      </c>
      <c r="W81" s="3">
        <f>0+IF(OTDS!$B$20,VLOOKUP($B81,OTDS_AMS_DM_Spending,'OTDS Tab Calculations'!W$80-2003,FALSE),0)+IF(OTDS!$G$20,VLOOKUP($B81,OTDS_BlueBox_Spending,'OTDS Tab Calculations'!W$80-2003,FALSE),0)+IF(OTDS!$J$20,VLOOKUP($B81,OTDS_Article62_Spending,'OTDS Tab Calculations'!W$80-2003,FALSE),0)</f>
        <v>290786763.00763857</v>
      </c>
      <c r="X81" s="3">
        <f>0+IF(OTDS!$B$20,VLOOKUP($B81,OTDS_AMS_DM_Spending,'OTDS Tab Calculations'!X$80-2003,FALSE),0)+IF(OTDS!$G$20,VLOOKUP($B81,OTDS_BlueBox_Spending,'OTDS Tab Calculations'!X$80-2003,FALSE),0)+IF(OTDS!$J$20,VLOOKUP($B81,OTDS_Article62_Spending,'OTDS Tab Calculations'!X$80-2003,FALSE),0)</f>
        <v>299510365.89786774</v>
      </c>
      <c r="Y81" s="3">
        <f>0+IF(OTDS!$B$20,VLOOKUP($B81,OTDS_AMS_DM_Spending,'OTDS Tab Calculations'!Y$80-2003,FALSE),0)+IF(OTDS!$G$20,VLOOKUP($B81,OTDS_BlueBox_Spending,'OTDS Tab Calculations'!Y$80-2003,FALSE),0)+IF(OTDS!$J$20,VLOOKUP($B81,OTDS_Article62_Spending,'OTDS Tab Calculations'!Y$80-2003,FALSE),0)</f>
        <v>308495676.87480378</v>
      </c>
      <c r="Z81" s="3">
        <f>0+IF(OTDS!$B$20,VLOOKUP($B81,OTDS_AMS_DM_Spending,'OTDS Tab Calculations'!Z$80-2003,FALSE),0)+IF(OTDS!$G$20,VLOOKUP($B81,OTDS_BlueBox_Spending,'OTDS Tab Calculations'!Z$80-2003,FALSE),0)+IF(OTDS!$J$20,VLOOKUP($B81,OTDS_Article62_Spending,'OTDS Tab Calculations'!Z$80-2003,FALSE),0)</f>
        <v>317750547.18104792</v>
      </c>
      <c r="AA81" s="3">
        <f>0+IF(OTDS!$B$20,VLOOKUP($B81,OTDS_AMS_DM_Spending,'OTDS Tab Calculations'!AA$80-2003,FALSE),0)+IF(OTDS!$G$20,VLOOKUP($B81,OTDS_BlueBox_Spending,'OTDS Tab Calculations'!AA$80-2003,FALSE),0)+IF(OTDS!$J$20,VLOOKUP($B81,OTDS_Article62_Spending,'OTDS Tab Calculations'!AA$80-2003,FALSE),0)</f>
        <v>327283063.59647936</v>
      </c>
    </row>
    <row r="82" spans="1:27" x14ac:dyDescent="0.25">
      <c r="A82" s="168" t="b">
        <f t="shared" ref="A82:A90" si="42">A69</f>
        <v>1</v>
      </c>
      <c r="B82" s="168" t="str">
        <f t="shared" ref="B82:B90" si="43">A56</f>
        <v>Brazil</v>
      </c>
      <c r="C82" s="3">
        <f>0+IF(OTDS!$B$20,VLOOKUP($B82,OTDS_AMS_DM_Spending,'OTDS Tab Calculations'!C$80-2003,FALSE),0)+IF(OTDS!$G$20,VLOOKUP($B82,OTDS_BlueBox_Spending,'OTDS Tab Calculations'!C$80-2003,FALSE),0)+IF(OTDS!$J$20,VLOOKUP($B82,OTDS_Article62_Spending,'OTDS Tab Calculations'!C$80-2003,FALSE),0)</f>
        <v>1650548500</v>
      </c>
      <c r="D82" s="3">
        <f>0+IF(OTDS!$B$20,VLOOKUP($B82,OTDS_AMS_DM_Spending,'OTDS Tab Calculations'!D$80-2003,FALSE),0)+IF(OTDS!$G$20,VLOOKUP($B82,OTDS_BlueBox_Spending,'OTDS Tab Calculations'!D$80-2003,FALSE),0)+IF(OTDS!$J$20,VLOOKUP($B82,OTDS_Article62_Spending,'OTDS Tab Calculations'!D$80-2003,FALSE),0)</f>
        <v>2248036900</v>
      </c>
      <c r="E82" s="3">
        <f>0+IF(OTDS!$B$20,VLOOKUP($B82,OTDS_AMS_DM_Spending,'OTDS Tab Calculations'!E$80-2003,FALSE),0)+IF(OTDS!$G$20,VLOOKUP($B82,OTDS_BlueBox_Spending,'OTDS Tab Calculations'!E$80-2003,FALSE),0)+IF(OTDS!$J$20,VLOOKUP($B82,OTDS_Article62_Spending,'OTDS Tab Calculations'!E$80-2003,FALSE),0)</f>
        <v>2737467000</v>
      </c>
      <c r="F82" s="3">
        <f>0+IF(OTDS!$B$20,VLOOKUP($B82,OTDS_AMS_DM_Spending,'OTDS Tab Calculations'!F$80-2003,FALSE),0)+IF(OTDS!$G$20,VLOOKUP($B82,OTDS_BlueBox_Spending,'OTDS Tab Calculations'!F$80-2003,FALSE),0)+IF(OTDS!$J$20,VLOOKUP($B82,OTDS_Article62_Spending,'OTDS Tab Calculations'!F$80-2003,FALSE),0)</f>
        <v>2370739100</v>
      </c>
      <c r="G82" s="3">
        <f>0+IF(OTDS!$B$20,VLOOKUP($B82,OTDS_AMS_DM_Spending,'OTDS Tab Calculations'!G$80-2003,FALSE),0)+IF(OTDS!$G$20,VLOOKUP($B82,OTDS_BlueBox_Spending,'OTDS Tab Calculations'!G$80-2003,FALSE),0)+IF(OTDS!$J$20,VLOOKUP($B82,OTDS_Article62_Spending,'OTDS Tab Calculations'!G$80-2003,FALSE),0)</f>
        <v>3455756300</v>
      </c>
      <c r="H82" s="3">
        <f>0+IF(OTDS!$B$20,VLOOKUP($B82,OTDS_AMS_DM_Spending,'OTDS Tab Calculations'!H$80-2003,FALSE),0)+IF(OTDS!$G$20,VLOOKUP($B82,OTDS_BlueBox_Spending,'OTDS Tab Calculations'!H$80-2003,FALSE),0)+IF(OTDS!$J$20,VLOOKUP($B82,OTDS_Article62_Spending,'OTDS Tab Calculations'!H$80-2003,FALSE),0)</f>
        <v>3641927300</v>
      </c>
      <c r="I82" s="3">
        <f>0+IF(OTDS!$B$20,VLOOKUP($B82,OTDS_AMS_DM_Spending,'OTDS Tab Calculations'!I$80-2003,FALSE),0)+IF(OTDS!$G$20,VLOOKUP($B82,OTDS_BlueBox_Spending,'OTDS Tab Calculations'!I$80-2003,FALSE),0)+IF(OTDS!$J$20,VLOOKUP($B82,OTDS_Article62_Spending,'OTDS Tab Calculations'!I$80-2003,FALSE),0)</f>
        <v>2608584500</v>
      </c>
      <c r="J82" s="3">
        <f>0+IF(OTDS!$B$20,VLOOKUP($B82,OTDS_AMS_DM_Spending,'OTDS Tab Calculations'!J$80-2003,FALSE),0)+IF(OTDS!$G$20,VLOOKUP($B82,OTDS_BlueBox_Spending,'OTDS Tab Calculations'!J$80-2003,FALSE),0)+IF(OTDS!$J$20,VLOOKUP($B82,OTDS_Article62_Spending,'OTDS Tab Calculations'!J$80-2003,FALSE),0)</f>
        <v>2430165300</v>
      </c>
      <c r="K82" s="3">
        <f>0+IF(OTDS!$B$20,VLOOKUP($B82,OTDS_AMS_DM_Spending,'OTDS Tab Calculations'!K$80-2003,FALSE),0)+IF(OTDS!$G$20,VLOOKUP($B82,OTDS_BlueBox_Spending,'OTDS Tab Calculations'!K$80-2003,FALSE),0)+IF(OTDS!$J$20,VLOOKUP($B82,OTDS_Article62_Spending,'OTDS Tab Calculations'!K$80-2003,FALSE),0)</f>
        <v>2669461700</v>
      </c>
      <c r="L82" s="3">
        <f>0+IF(OTDS!$B$20,VLOOKUP($B82,OTDS_AMS_DM_Spending,'OTDS Tab Calculations'!L$80-2003,FALSE),0)+IF(OTDS!$G$20,VLOOKUP($B82,OTDS_BlueBox_Spending,'OTDS Tab Calculations'!L$80-2003,FALSE),0)+IF(OTDS!$J$20,VLOOKUP($B82,OTDS_Article62_Spending,'OTDS Tab Calculations'!L$80-2003,FALSE),0)</f>
        <v>2749545551</v>
      </c>
      <c r="M82" s="3">
        <f>0+IF(OTDS!$B$20,VLOOKUP($B82,OTDS_AMS_DM_Spending,'OTDS Tab Calculations'!M$80-2003,FALSE),0)+IF(OTDS!$G$20,VLOOKUP($B82,OTDS_BlueBox_Spending,'OTDS Tab Calculations'!M$80-2003,FALSE),0)+IF(OTDS!$J$20,VLOOKUP($B82,OTDS_Article62_Spending,'OTDS Tab Calculations'!M$80-2003,FALSE),0)</f>
        <v>2832031917.5300002</v>
      </c>
      <c r="N82" s="3">
        <f>0+IF(OTDS!$B$20,VLOOKUP($B82,OTDS_AMS_DM_Spending,'OTDS Tab Calculations'!N$80-2003,FALSE),0)+IF(OTDS!$G$20,VLOOKUP($B82,OTDS_BlueBox_Spending,'OTDS Tab Calculations'!N$80-2003,FALSE),0)+IF(OTDS!$J$20,VLOOKUP($B82,OTDS_Article62_Spending,'OTDS Tab Calculations'!N$80-2003,FALSE),0)</f>
        <v>2916992875.0559001</v>
      </c>
      <c r="O82" s="3">
        <f>0+IF(OTDS!$B$20,VLOOKUP($B82,OTDS_AMS_DM_Spending,'OTDS Tab Calculations'!O$80-2003,FALSE),0)+IF(OTDS!$G$20,VLOOKUP($B82,OTDS_BlueBox_Spending,'OTDS Tab Calculations'!O$80-2003,FALSE),0)+IF(OTDS!$J$20,VLOOKUP($B82,OTDS_Article62_Spending,'OTDS Tab Calculations'!O$80-2003,FALSE),0)</f>
        <v>3004502661.3075771</v>
      </c>
      <c r="P82" s="3">
        <f>0+IF(OTDS!$B$20,VLOOKUP($B82,OTDS_AMS_DM_Spending,'OTDS Tab Calculations'!P$80-2003,FALSE),0)+IF(OTDS!$G$20,VLOOKUP($B82,OTDS_BlueBox_Spending,'OTDS Tab Calculations'!P$80-2003,FALSE),0)+IF(OTDS!$J$20,VLOOKUP($B82,OTDS_Article62_Spending,'OTDS Tab Calculations'!P$80-2003,FALSE),0)</f>
        <v>3094637741.1468043</v>
      </c>
      <c r="Q82" s="3">
        <f>0+IF(OTDS!$B$20,VLOOKUP($B82,OTDS_AMS_DM_Spending,'OTDS Tab Calculations'!Q$80-2003,FALSE),0)+IF(OTDS!$G$20,VLOOKUP($B82,OTDS_BlueBox_Spending,'OTDS Tab Calculations'!Q$80-2003,FALSE),0)+IF(OTDS!$J$20,VLOOKUP($B82,OTDS_Article62_Spending,'OTDS Tab Calculations'!Q$80-2003,FALSE),0)</f>
        <v>3187476873.3812084</v>
      </c>
      <c r="R82" s="3">
        <f>0+IF(OTDS!$B$20,VLOOKUP($B82,OTDS_AMS_DM_Spending,'OTDS Tab Calculations'!R$80-2003,FALSE),0)+IF(OTDS!$G$20,VLOOKUP($B82,OTDS_BlueBox_Spending,'OTDS Tab Calculations'!R$80-2003,FALSE),0)+IF(OTDS!$J$20,VLOOKUP($B82,OTDS_Article62_Spending,'OTDS Tab Calculations'!R$80-2003,FALSE),0)</f>
        <v>3283101179.5826445</v>
      </c>
      <c r="S82" s="3">
        <f>0+IF(OTDS!$B$20,VLOOKUP($B82,OTDS_AMS_DM_Spending,'OTDS Tab Calculations'!S$80-2003,FALSE),0)+IF(OTDS!$G$20,VLOOKUP($B82,OTDS_BlueBox_Spending,'OTDS Tab Calculations'!S$80-2003,FALSE),0)+IF(OTDS!$J$20,VLOOKUP($B82,OTDS_Article62_Spending,'OTDS Tab Calculations'!S$80-2003,FALSE),0)</f>
        <v>3381594214.9701238</v>
      </c>
      <c r="T82" s="3">
        <f>0+IF(OTDS!$B$20,VLOOKUP($B82,OTDS_AMS_DM_Spending,'OTDS Tab Calculations'!T$80-2003,FALSE),0)+IF(OTDS!$G$20,VLOOKUP($B82,OTDS_BlueBox_Spending,'OTDS Tab Calculations'!T$80-2003,FALSE),0)+IF(OTDS!$J$20,VLOOKUP($B82,OTDS_Article62_Spending,'OTDS Tab Calculations'!T$80-2003,FALSE),0)</f>
        <v>3483042041.4192276</v>
      </c>
      <c r="U82" s="3">
        <f>0+IF(OTDS!$B$20,VLOOKUP($B82,OTDS_AMS_DM_Spending,'OTDS Tab Calculations'!U$80-2003,FALSE),0)+IF(OTDS!$G$20,VLOOKUP($B82,OTDS_BlueBox_Spending,'OTDS Tab Calculations'!U$80-2003,FALSE),0)+IF(OTDS!$J$20,VLOOKUP($B82,OTDS_Article62_Spending,'OTDS Tab Calculations'!U$80-2003,FALSE),0)</f>
        <v>3587533302.6618042</v>
      </c>
      <c r="V82" s="3">
        <f>0+IF(OTDS!$B$20,VLOOKUP($B82,OTDS_AMS_DM_Spending,'OTDS Tab Calculations'!V$80-2003,FALSE),0)+IF(OTDS!$G$20,VLOOKUP($B82,OTDS_BlueBox_Spending,'OTDS Tab Calculations'!V$80-2003,FALSE),0)+IF(OTDS!$J$20,VLOOKUP($B82,OTDS_Article62_Spending,'OTDS Tab Calculations'!V$80-2003,FALSE),0)</f>
        <v>3695159301.7416582</v>
      </c>
      <c r="W82" s="3">
        <f>0+IF(OTDS!$B$20,VLOOKUP($B82,OTDS_AMS_DM_Spending,'OTDS Tab Calculations'!W$80-2003,FALSE),0)+IF(OTDS!$G$20,VLOOKUP($B82,OTDS_BlueBox_Spending,'OTDS Tab Calculations'!W$80-2003,FALSE),0)+IF(OTDS!$J$20,VLOOKUP($B82,OTDS_Article62_Spending,'OTDS Tab Calculations'!W$80-2003,FALSE),0)</f>
        <v>3806014080.7939081</v>
      </c>
      <c r="X82" s="3">
        <f>0+IF(OTDS!$B$20,VLOOKUP($B82,OTDS_AMS_DM_Spending,'OTDS Tab Calculations'!X$80-2003,FALSE),0)+IF(OTDS!$G$20,VLOOKUP($B82,OTDS_BlueBox_Spending,'OTDS Tab Calculations'!X$80-2003,FALSE),0)+IF(OTDS!$J$20,VLOOKUP($B82,OTDS_Article62_Spending,'OTDS Tab Calculations'!X$80-2003,FALSE),0)</f>
        <v>3920194503.2177253</v>
      </c>
      <c r="Y82" s="3">
        <f>0+IF(OTDS!$B$20,VLOOKUP($B82,OTDS_AMS_DM_Spending,'OTDS Tab Calculations'!Y$80-2003,FALSE),0)+IF(OTDS!$G$20,VLOOKUP($B82,OTDS_BlueBox_Spending,'OTDS Tab Calculations'!Y$80-2003,FALSE),0)+IF(OTDS!$J$20,VLOOKUP($B82,OTDS_Article62_Spending,'OTDS Tab Calculations'!Y$80-2003,FALSE),0)</f>
        <v>4037800338.3142571</v>
      </c>
      <c r="Z82" s="3">
        <f>0+IF(OTDS!$B$20,VLOOKUP($B82,OTDS_AMS_DM_Spending,'OTDS Tab Calculations'!Z$80-2003,FALSE),0)+IF(OTDS!$G$20,VLOOKUP($B82,OTDS_BlueBox_Spending,'OTDS Tab Calculations'!Z$80-2003,FALSE),0)+IF(OTDS!$J$20,VLOOKUP($B82,OTDS_Article62_Spending,'OTDS Tab Calculations'!Z$80-2003,FALSE),0)</f>
        <v>4158934348.463685</v>
      </c>
      <c r="AA82" s="3">
        <f>0+IF(OTDS!$B$20,VLOOKUP($B82,OTDS_AMS_DM_Spending,'OTDS Tab Calculations'!AA$80-2003,FALSE),0)+IF(OTDS!$G$20,VLOOKUP($B82,OTDS_BlueBox_Spending,'OTDS Tab Calculations'!AA$80-2003,FALSE),0)+IF(OTDS!$J$20,VLOOKUP($B82,OTDS_Article62_Spending,'OTDS Tab Calculations'!AA$80-2003,FALSE),0)</f>
        <v>4283702378.9175954</v>
      </c>
    </row>
    <row r="83" spans="1:27" x14ac:dyDescent="0.25">
      <c r="A83" s="168" t="b">
        <f t="shared" si="42"/>
        <v>1</v>
      </c>
      <c r="B83" s="168" t="str">
        <f t="shared" si="43"/>
        <v>Canada</v>
      </c>
      <c r="C83" s="3">
        <f>0+IF(OTDS!$B$20,VLOOKUP($B83,OTDS_AMS_DM_Spending,'OTDS Tab Calculations'!C$80-2003,FALSE),0)+IF(OTDS!$G$20,VLOOKUP($B83,OTDS_BlueBox_Spending,'OTDS Tab Calculations'!C$80-2003,FALSE),0)+IF(OTDS!$J$20,VLOOKUP($B83,OTDS_Article62_Spending,'OTDS Tab Calculations'!C$80-2003,FALSE),0)</f>
        <v>1939352319.2237749</v>
      </c>
      <c r="D83" s="3">
        <f>0+IF(OTDS!$B$20,VLOOKUP($B83,OTDS_AMS_DM_Spending,'OTDS Tab Calculations'!D$80-2003,FALSE),0)+IF(OTDS!$G$20,VLOOKUP($B83,OTDS_BlueBox_Spending,'OTDS Tab Calculations'!D$80-2003,FALSE),0)+IF(OTDS!$J$20,VLOOKUP($B83,OTDS_Article62_Spending,'OTDS Tab Calculations'!D$80-2003,FALSE),0)</f>
        <v>2823318614.7546911</v>
      </c>
      <c r="E83" s="3">
        <f>0+IF(OTDS!$B$20,VLOOKUP($B83,OTDS_AMS_DM_Spending,'OTDS Tab Calculations'!E$80-2003,FALSE),0)+IF(OTDS!$G$20,VLOOKUP($B83,OTDS_BlueBox_Spending,'OTDS Tab Calculations'!E$80-2003,FALSE),0)+IF(OTDS!$J$20,VLOOKUP($B83,OTDS_Article62_Spending,'OTDS Tab Calculations'!E$80-2003,FALSE),0)</f>
        <v>3127427100.1676054</v>
      </c>
      <c r="F83" s="3">
        <f>0+IF(OTDS!$B$20,VLOOKUP($B83,OTDS_AMS_DM_Spending,'OTDS Tab Calculations'!F$80-2003,FALSE),0)+IF(OTDS!$G$20,VLOOKUP($B83,OTDS_BlueBox_Spending,'OTDS Tab Calculations'!F$80-2003,FALSE),0)+IF(OTDS!$J$20,VLOOKUP($B83,OTDS_Article62_Spending,'OTDS Tab Calculations'!F$80-2003,FALSE),0)</f>
        <v>2570150392.15413</v>
      </c>
      <c r="G83" s="3">
        <f>0+IF(OTDS!$B$20,VLOOKUP($B83,OTDS_AMS_DM_Spending,'OTDS Tab Calculations'!G$80-2003,FALSE),0)+IF(OTDS!$G$20,VLOOKUP($B83,OTDS_BlueBox_Spending,'OTDS Tab Calculations'!G$80-2003,FALSE),0)+IF(OTDS!$J$20,VLOOKUP($B83,OTDS_Article62_Spending,'OTDS Tab Calculations'!G$80-2003,FALSE),0)</f>
        <v>2942072190.5485468</v>
      </c>
      <c r="H83" s="3">
        <f>0+IF(OTDS!$B$20,VLOOKUP($B83,OTDS_AMS_DM_Spending,'OTDS Tab Calculations'!H$80-2003,FALSE),0)+IF(OTDS!$G$20,VLOOKUP($B83,OTDS_BlueBox_Spending,'OTDS Tab Calculations'!H$80-2003,FALSE),0)+IF(OTDS!$J$20,VLOOKUP($B83,OTDS_Article62_Spending,'OTDS Tab Calculations'!H$80-2003,FALSE),0)</f>
        <v>3016140365.1341271</v>
      </c>
      <c r="I83" s="3">
        <f>0+IF(OTDS!$B$20,VLOOKUP($B83,OTDS_AMS_DM_Spending,'OTDS Tab Calculations'!I$80-2003,FALSE),0)+IF(OTDS!$G$20,VLOOKUP($B83,OTDS_BlueBox_Spending,'OTDS Tab Calculations'!I$80-2003,FALSE),0)+IF(OTDS!$J$20,VLOOKUP($B83,OTDS_Article62_Spending,'OTDS Tab Calculations'!I$80-2003,FALSE),0)</f>
        <v>2892232817.525692</v>
      </c>
      <c r="J83" s="3">
        <f>0+IF(OTDS!$B$20,VLOOKUP($B83,OTDS_AMS_DM_Spending,'OTDS Tab Calculations'!J$80-2003,FALSE),0)+IF(OTDS!$G$20,VLOOKUP($B83,OTDS_BlueBox_Spending,'OTDS Tab Calculations'!J$80-2003,FALSE),0)+IF(OTDS!$J$20,VLOOKUP($B83,OTDS_Article62_Spending,'OTDS Tab Calculations'!J$80-2003,FALSE),0)</f>
        <v>2978999802.0514627</v>
      </c>
      <c r="K83" s="3">
        <f>0+IF(OTDS!$B$20,VLOOKUP($B83,OTDS_AMS_DM_Spending,'OTDS Tab Calculations'!K$80-2003,FALSE),0)+IF(OTDS!$G$20,VLOOKUP($B83,OTDS_BlueBox_Spending,'OTDS Tab Calculations'!K$80-2003,FALSE),0)+IF(OTDS!$J$20,VLOOKUP($B83,OTDS_Article62_Spending,'OTDS Tab Calculations'!K$80-2003,FALSE),0)</f>
        <v>3068369796.1130066</v>
      </c>
      <c r="L83" s="3">
        <f>0+IF(OTDS!$B$20,VLOOKUP($B83,OTDS_AMS_DM_Spending,'OTDS Tab Calculations'!L$80-2003,FALSE),0)+IF(OTDS!$G$20,VLOOKUP($B83,OTDS_BlueBox_Spending,'OTDS Tab Calculations'!L$80-2003,FALSE),0)+IF(OTDS!$J$20,VLOOKUP($B83,OTDS_Article62_Spending,'OTDS Tab Calculations'!L$80-2003,FALSE),0)</f>
        <v>3160420889.996397</v>
      </c>
      <c r="M83" s="3">
        <f>0+IF(OTDS!$B$20,VLOOKUP($B83,OTDS_AMS_DM_Spending,'OTDS Tab Calculations'!M$80-2003,FALSE),0)+IF(OTDS!$G$20,VLOOKUP($B83,OTDS_BlueBox_Spending,'OTDS Tab Calculations'!M$80-2003,FALSE),0)+IF(OTDS!$J$20,VLOOKUP($B83,OTDS_Article62_Spending,'OTDS Tab Calculations'!M$80-2003,FALSE),0)</f>
        <v>3255233516.6962891</v>
      </c>
      <c r="N83" s="3">
        <f>0+IF(OTDS!$B$20,VLOOKUP($B83,OTDS_AMS_DM_Spending,'OTDS Tab Calculations'!N$80-2003,FALSE),0)+IF(OTDS!$G$20,VLOOKUP($B83,OTDS_BlueBox_Spending,'OTDS Tab Calculations'!N$80-2003,FALSE),0)+IF(OTDS!$J$20,VLOOKUP($B83,OTDS_Article62_Spending,'OTDS Tab Calculations'!N$80-2003,FALSE),0)</f>
        <v>3352890522.1971779</v>
      </c>
      <c r="O83" s="3">
        <f>0+IF(OTDS!$B$20,VLOOKUP($B83,OTDS_AMS_DM_Spending,'OTDS Tab Calculations'!O$80-2003,FALSE),0)+IF(OTDS!$G$20,VLOOKUP($B83,OTDS_BlueBox_Spending,'OTDS Tab Calculations'!O$80-2003,FALSE),0)+IF(OTDS!$J$20,VLOOKUP($B83,OTDS_Article62_Spending,'OTDS Tab Calculations'!O$80-2003,FALSE),0)</f>
        <v>3453477237.8630934</v>
      </c>
      <c r="P83" s="3">
        <f>0+IF(OTDS!$B$20,VLOOKUP($B83,OTDS_AMS_DM_Spending,'OTDS Tab Calculations'!P$80-2003,FALSE),0)+IF(OTDS!$G$20,VLOOKUP($B83,OTDS_BlueBox_Spending,'OTDS Tab Calculations'!P$80-2003,FALSE),0)+IF(OTDS!$J$20,VLOOKUP($B83,OTDS_Article62_Spending,'OTDS Tab Calculations'!P$80-2003,FALSE),0)</f>
        <v>3557081554.9989862</v>
      </c>
      <c r="Q83" s="3">
        <f>0+IF(OTDS!$B$20,VLOOKUP($B83,OTDS_AMS_DM_Spending,'OTDS Tab Calculations'!Q$80-2003,FALSE),0)+IF(OTDS!$G$20,VLOOKUP($B83,OTDS_BlueBox_Spending,'OTDS Tab Calculations'!Q$80-2003,FALSE),0)+IF(OTDS!$J$20,VLOOKUP($B83,OTDS_Article62_Spending,'OTDS Tab Calculations'!Q$80-2003,FALSE),0)</f>
        <v>3663794001.6489558</v>
      </c>
      <c r="R83" s="3">
        <f>0+IF(OTDS!$B$20,VLOOKUP($B83,OTDS_AMS_DM_Spending,'OTDS Tab Calculations'!R$80-2003,FALSE),0)+IF(OTDS!$G$20,VLOOKUP($B83,OTDS_BlueBox_Spending,'OTDS Tab Calculations'!R$80-2003,FALSE),0)+IF(OTDS!$J$20,VLOOKUP($B83,OTDS_Article62_Spending,'OTDS Tab Calculations'!R$80-2003,FALSE),0)</f>
        <v>3773707821.6984243</v>
      </c>
      <c r="S83" s="3">
        <f>0+IF(OTDS!$B$20,VLOOKUP($B83,OTDS_AMS_DM_Spending,'OTDS Tab Calculations'!S$80-2003,FALSE),0)+IF(OTDS!$G$20,VLOOKUP($B83,OTDS_BlueBox_Spending,'OTDS Tab Calculations'!S$80-2003,FALSE),0)+IF(OTDS!$J$20,VLOOKUP($B83,OTDS_Article62_Spending,'OTDS Tab Calculations'!S$80-2003,FALSE),0)</f>
        <v>3886919056.3493772</v>
      </c>
      <c r="T83" s="3">
        <f>0+IF(OTDS!$B$20,VLOOKUP($B83,OTDS_AMS_DM_Spending,'OTDS Tab Calculations'!T$80-2003,FALSE),0)+IF(OTDS!$G$20,VLOOKUP($B83,OTDS_BlueBox_Spending,'OTDS Tab Calculations'!T$80-2003,FALSE),0)+IF(OTDS!$J$20,VLOOKUP($B83,OTDS_Article62_Spending,'OTDS Tab Calculations'!T$80-2003,FALSE),0)</f>
        <v>4003526628.0398583</v>
      </c>
      <c r="U83" s="3">
        <f>0+IF(OTDS!$B$20,VLOOKUP($B83,OTDS_AMS_DM_Spending,'OTDS Tab Calculations'!U$80-2003,FALSE),0)+IF(OTDS!$G$20,VLOOKUP($B83,OTDS_BlueBox_Spending,'OTDS Tab Calculations'!U$80-2003,FALSE),0)+IF(OTDS!$J$20,VLOOKUP($B83,OTDS_Article62_Spending,'OTDS Tab Calculations'!U$80-2003,FALSE),0)</f>
        <v>4123632426.8810539</v>
      </c>
      <c r="V83" s="3">
        <f>0+IF(OTDS!$B$20,VLOOKUP($B83,OTDS_AMS_DM_Spending,'OTDS Tab Calculations'!V$80-2003,FALSE),0)+IF(OTDS!$G$20,VLOOKUP($B83,OTDS_BlueBox_Spending,'OTDS Tab Calculations'!V$80-2003,FALSE),0)+IF(OTDS!$J$20,VLOOKUP($B83,OTDS_Article62_Spending,'OTDS Tab Calculations'!V$80-2003,FALSE),0)</f>
        <v>4247341399.6874857</v>
      </c>
      <c r="W83" s="3">
        <f>0+IF(OTDS!$B$20,VLOOKUP($B83,OTDS_AMS_DM_Spending,'OTDS Tab Calculations'!W$80-2003,FALSE),0)+IF(OTDS!$G$20,VLOOKUP($B83,OTDS_BlueBox_Spending,'OTDS Tab Calculations'!W$80-2003,FALSE),0)+IF(OTDS!$J$20,VLOOKUP($B83,OTDS_Article62_Spending,'OTDS Tab Calculations'!W$80-2003,FALSE),0)</f>
        <v>4374761641.6781101</v>
      </c>
      <c r="X83" s="3">
        <f>0+IF(OTDS!$B$20,VLOOKUP($B83,OTDS_AMS_DM_Spending,'OTDS Tab Calculations'!X$80-2003,FALSE),0)+IF(OTDS!$G$20,VLOOKUP($B83,OTDS_BlueBox_Spending,'OTDS Tab Calculations'!X$80-2003,FALSE),0)+IF(OTDS!$J$20,VLOOKUP($B83,OTDS_Article62_Spending,'OTDS Tab Calculations'!X$80-2003,FALSE),0)</f>
        <v>4506004490.9284534</v>
      </c>
      <c r="Y83" s="3">
        <f>0+IF(OTDS!$B$20,VLOOKUP($B83,OTDS_AMS_DM_Spending,'OTDS Tab Calculations'!Y$80-2003,FALSE),0)+IF(OTDS!$G$20,VLOOKUP($B83,OTDS_BlueBox_Spending,'OTDS Tab Calculations'!Y$80-2003,FALSE),0)+IF(OTDS!$J$20,VLOOKUP($B83,OTDS_Article62_Spending,'OTDS Tab Calculations'!Y$80-2003,FALSE),0)</f>
        <v>4641184625.6563072</v>
      </c>
      <c r="Z83" s="3">
        <f>0+IF(OTDS!$B$20,VLOOKUP($B83,OTDS_AMS_DM_Spending,'OTDS Tab Calculations'!Z$80-2003,FALSE),0)+IF(OTDS!$G$20,VLOOKUP($B83,OTDS_BlueBox_Spending,'OTDS Tab Calculations'!Z$80-2003,FALSE),0)+IF(OTDS!$J$20,VLOOKUP($B83,OTDS_Article62_Spending,'OTDS Tab Calculations'!Z$80-2003,FALSE),0)</f>
        <v>4780420164.4259968</v>
      </c>
      <c r="AA83" s="3">
        <f>0+IF(OTDS!$B$20,VLOOKUP($B83,OTDS_AMS_DM_Spending,'OTDS Tab Calculations'!AA$80-2003,FALSE),0)+IF(OTDS!$G$20,VLOOKUP($B83,OTDS_BlueBox_Spending,'OTDS Tab Calculations'!AA$80-2003,FALSE),0)+IF(OTDS!$J$20,VLOOKUP($B83,OTDS_Article62_Spending,'OTDS Tab Calculations'!AA$80-2003,FALSE),0)</f>
        <v>4923832769.358777</v>
      </c>
    </row>
    <row r="84" spans="1:27" x14ac:dyDescent="0.25">
      <c r="A84" s="168" t="b">
        <f t="shared" si="42"/>
        <v>1</v>
      </c>
      <c r="B84" s="168" t="str">
        <f t="shared" si="43"/>
        <v>China</v>
      </c>
      <c r="C84" s="3">
        <f>0+IF(OTDS!$B$20,VLOOKUP($B84,OTDS_AMS_DM_Spending,'OTDS Tab Calculations'!C$80-2003,FALSE),0)+IF(OTDS!$G$20,VLOOKUP($B84,OTDS_BlueBox_Spending,'OTDS Tab Calculations'!C$80-2003,FALSE),0)+IF(OTDS!$J$20,VLOOKUP($B84,OTDS_Article62_Spending,'OTDS Tab Calculations'!C$80-2003,FALSE),0)</f>
        <v>2009930999</v>
      </c>
      <c r="D84" s="3">
        <f>0+IF(OTDS!$B$20,VLOOKUP($B84,OTDS_AMS_DM_Spending,'OTDS Tab Calculations'!D$80-2003,FALSE),0)+IF(OTDS!$G$20,VLOOKUP($B84,OTDS_BlueBox_Spending,'OTDS Tab Calculations'!D$80-2003,FALSE),0)+IF(OTDS!$J$20,VLOOKUP($B84,OTDS_Article62_Spending,'OTDS Tab Calculations'!D$80-2003,FALSE),0)</f>
        <v>5453338325</v>
      </c>
      <c r="E84" s="3">
        <f>0+IF(OTDS!$B$20,VLOOKUP($B84,OTDS_AMS_DM_Spending,'OTDS Tab Calculations'!E$80-2003,FALSE),0)+IF(OTDS!$G$20,VLOOKUP($B84,OTDS_BlueBox_Spending,'OTDS Tab Calculations'!E$80-2003,FALSE),0)+IF(OTDS!$J$20,VLOOKUP($B84,OTDS_Article62_Spending,'OTDS Tab Calculations'!E$80-2003,FALSE),0)</f>
        <v>13856225058</v>
      </c>
      <c r="F84" s="3">
        <f>0+IF(OTDS!$B$20,VLOOKUP($B84,OTDS_AMS_DM_Spending,'OTDS Tab Calculations'!F$80-2003,FALSE),0)+IF(OTDS!$G$20,VLOOKUP($B84,OTDS_BlueBox_Spending,'OTDS Tab Calculations'!F$80-2003,FALSE),0)+IF(OTDS!$J$20,VLOOKUP($B84,OTDS_Article62_Spending,'OTDS Tab Calculations'!F$80-2003,FALSE),0)</f>
        <v>16418580676</v>
      </c>
      <c r="G84" s="3">
        <f>0+IF(OTDS!$B$20,VLOOKUP($B84,OTDS_AMS_DM_Spending,'OTDS Tab Calculations'!G$80-2003,FALSE),0)+IF(OTDS!$G$20,VLOOKUP($B84,OTDS_BlueBox_Spending,'OTDS Tab Calculations'!G$80-2003,FALSE),0)+IF(OTDS!$J$20,VLOOKUP($B84,OTDS_Article62_Spending,'OTDS Tab Calculations'!G$80-2003,FALSE),0)</f>
        <v>18582798362</v>
      </c>
      <c r="H84" s="3">
        <f>0+IF(OTDS!$B$20,VLOOKUP($B84,OTDS_AMS_DM_Spending,'OTDS Tab Calculations'!H$80-2003,FALSE),0)+IF(OTDS!$G$20,VLOOKUP($B84,OTDS_BlueBox_Spending,'OTDS Tab Calculations'!H$80-2003,FALSE),0)+IF(OTDS!$J$20,VLOOKUP($B84,OTDS_Article62_Spending,'OTDS Tab Calculations'!H$80-2003,FALSE),0)</f>
        <v>19140282312.860001</v>
      </c>
      <c r="I84" s="3">
        <f>0+IF(OTDS!$B$20,VLOOKUP($B84,OTDS_AMS_DM_Spending,'OTDS Tab Calculations'!I$80-2003,FALSE),0)+IF(OTDS!$G$20,VLOOKUP($B84,OTDS_BlueBox_Spending,'OTDS Tab Calculations'!I$80-2003,FALSE),0)+IF(OTDS!$J$20,VLOOKUP($B84,OTDS_Article62_Spending,'OTDS Tab Calculations'!I$80-2003,FALSE),0)</f>
        <v>19714490782.2458</v>
      </c>
      <c r="J84" s="3">
        <f>0+IF(OTDS!$B$20,VLOOKUP($B84,OTDS_AMS_DM_Spending,'OTDS Tab Calculations'!J$80-2003,FALSE),0)+IF(OTDS!$G$20,VLOOKUP($B84,OTDS_BlueBox_Spending,'OTDS Tab Calculations'!J$80-2003,FALSE),0)+IF(OTDS!$J$20,VLOOKUP($B84,OTDS_Article62_Spending,'OTDS Tab Calculations'!J$80-2003,FALSE),0)</f>
        <v>20305925505.713173</v>
      </c>
      <c r="K84" s="3">
        <f>0+IF(OTDS!$B$20,VLOOKUP($B84,OTDS_AMS_DM_Spending,'OTDS Tab Calculations'!K$80-2003,FALSE),0)+IF(OTDS!$G$20,VLOOKUP($B84,OTDS_BlueBox_Spending,'OTDS Tab Calculations'!K$80-2003,FALSE),0)+IF(OTDS!$J$20,VLOOKUP($B84,OTDS_Article62_Spending,'OTDS Tab Calculations'!K$80-2003,FALSE),0)</f>
        <v>20915103270.884567</v>
      </c>
      <c r="L84" s="3">
        <f>0+IF(OTDS!$B$20,VLOOKUP($B84,OTDS_AMS_DM_Spending,'OTDS Tab Calculations'!L$80-2003,FALSE),0)+IF(OTDS!$G$20,VLOOKUP($B84,OTDS_BlueBox_Spending,'OTDS Tab Calculations'!L$80-2003,FALSE),0)+IF(OTDS!$J$20,VLOOKUP($B84,OTDS_Article62_Spending,'OTDS Tab Calculations'!L$80-2003,FALSE),0)</f>
        <v>21542556369.011105</v>
      </c>
      <c r="M84" s="3">
        <f>0+IF(OTDS!$B$20,VLOOKUP($B84,OTDS_AMS_DM_Spending,'OTDS Tab Calculations'!M$80-2003,FALSE),0)+IF(OTDS!$G$20,VLOOKUP($B84,OTDS_BlueBox_Spending,'OTDS Tab Calculations'!M$80-2003,FALSE),0)+IF(OTDS!$J$20,VLOOKUP($B84,OTDS_Article62_Spending,'OTDS Tab Calculations'!M$80-2003,FALSE),0)</f>
        <v>22188833060.081436</v>
      </c>
      <c r="N84" s="3">
        <f>0+IF(OTDS!$B$20,VLOOKUP($B84,OTDS_AMS_DM_Spending,'OTDS Tab Calculations'!N$80-2003,FALSE),0)+IF(OTDS!$G$20,VLOOKUP($B84,OTDS_BlueBox_Spending,'OTDS Tab Calculations'!N$80-2003,FALSE),0)+IF(OTDS!$J$20,VLOOKUP($B84,OTDS_Article62_Spending,'OTDS Tab Calculations'!N$80-2003,FALSE),0)</f>
        <v>22854498051.883881</v>
      </c>
      <c r="O84" s="3">
        <f>0+IF(OTDS!$B$20,VLOOKUP($B84,OTDS_AMS_DM_Spending,'OTDS Tab Calculations'!O$80-2003,FALSE),0)+IF(OTDS!$G$20,VLOOKUP($B84,OTDS_BlueBox_Spending,'OTDS Tab Calculations'!O$80-2003,FALSE),0)+IF(OTDS!$J$20,VLOOKUP($B84,OTDS_Article62_Spending,'OTDS Tab Calculations'!O$80-2003,FALSE),0)</f>
        <v>23540132993.440395</v>
      </c>
      <c r="P84" s="3">
        <f>0+IF(OTDS!$B$20,VLOOKUP($B84,OTDS_AMS_DM_Spending,'OTDS Tab Calculations'!P$80-2003,FALSE),0)+IF(OTDS!$G$20,VLOOKUP($B84,OTDS_BlueBox_Spending,'OTDS Tab Calculations'!P$80-2003,FALSE),0)+IF(OTDS!$J$20,VLOOKUP($B84,OTDS_Article62_Spending,'OTDS Tab Calculations'!P$80-2003,FALSE),0)</f>
        <v>24246336983.243607</v>
      </c>
      <c r="Q84" s="3">
        <f>0+IF(OTDS!$B$20,VLOOKUP($B84,OTDS_AMS_DM_Spending,'OTDS Tab Calculations'!Q$80-2003,FALSE),0)+IF(OTDS!$G$20,VLOOKUP($B84,OTDS_BlueBox_Spending,'OTDS Tab Calculations'!Q$80-2003,FALSE),0)+IF(OTDS!$J$20,VLOOKUP($B84,OTDS_Article62_Spending,'OTDS Tab Calculations'!Q$80-2003,FALSE),0)</f>
        <v>24973727092.740913</v>
      </c>
      <c r="R84" s="3">
        <f>0+IF(OTDS!$B$20,VLOOKUP($B84,OTDS_AMS_DM_Spending,'OTDS Tab Calculations'!R$80-2003,FALSE),0)+IF(OTDS!$G$20,VLOOKUP($B84,OTDS_BlueBox_Spending,'OTDS Tab Calculations'!R$80-2003,FALSE),0)+IF(OTDS!$J$20,VLOOKUP($B84,OTDS_Article62_Spending,'OTDS Tab Calculations'!R$80-2003,FALSE),0)</f>
        <v>25722938905.52314</v>
      </c>
      <c r="S84" s="3">
        <f>0+IF(OTDS!$B$20,VLOOKUP($B84,OTDS_AMS_DM_Spending,'OTDS Tab Calculations'!S$80-2003,FALSE),0)+IF(OTDS!$G$20,VLOOKUP($B84,OTDS_BlueBox_Spending,'OTDS Tab Calculations'!S$80-2003,FALSE),0)+IF(OTDS!$J$20,VLOOKUP($B84,OTDS_Article62_Spending,'OTDS Tab Calculations'!S$80-2003,FALSE),0)</f>
        <v>26494627072.688835</v>
      </c>
      <c r="T84" s="3">
        <f>0+IF(OTDS!$B$20,VLOOKUP($B84,OTDS_AMS_DM_Spending,'OTDS Tab Calculations'!T$80-2003,FALSE),0)+IF(OTDS!$G$20,VLOOKUP($B84,OTDS_BlueBox_Spending,'OTDS Tab Calculations'!T$80-2003,FALSE),0)+IF(OTDS!$J$20,VLOOKUP($B84,OTDS_Article62_Spending,'OTDS Tab Calculations'!T$80-2003,FALSE),0)</f>
        <v>27289465884.869499</v>
      </c>
      <c r="U84" s="3">
        <f>0+IF(OTDS!$B$20,VLOOKUP($B84,OTDS_AMS_DM_Spending,'OTDS Tab Calculations'!U$80-2003,FALSE),0)+IF(OTDS!$G$20,VLOOKUP($B84,OTDS_BlueBox_Spending,'OTDS Tab Calculations'!U$80-2003,FALSE),0)+IF(OTDS!$J$20,VLOOKUP($B84,OTDS_Article62_Spending,'OTDS Tab Calculations'!U$80-2003,FALSE),0)</f>
        <v>28108149861.415585</v>
      </c>
      <c r="V84" s="3">
        <f>0+IF(OTDS!$B$20,VLOOKUP($B84,OTDS_AMS_DM_Spending,'OTDS Tab Calculations'!V$80-2003,FALSE),0)+IF(OTDS!$G$20,VLOOKUP($B84,OTDS_BlueBox_Spending,'OTDS Tab Calculations'!V$80-2003,FALSE),0)+IF(OTDS!$J$20,VLOOKUP($B84,OTDS_Article62_Spending,'OTDS Tab Calculations'!V$80-2003,FALSE),0)</f>
        <v>28951394357.258053</v>
      </c>
      <c r="W84" s="3">
        <f>0+IF(OTDS!$B$20,VLOOKUP($B84,OTDS_AMS_DM_Spending,'OTDS Tab Calculations'!W$80-2003,FALSE),0)+IF(OTDS!$G$20,VLOOKUP($B84,OTDS_BlueBox_Spending,'OTDS Tab Calculations'!W$80-2003,FALSE),0)+IF(OTDS!$J$20,VLOOKUP($B84,OTDS_Article62_Spending,'OTDS Tab Calculations'!W$80-2003,FALSE),0)</f>
        <v>29819936187.975796</v>
      </c>
      <c r="X84" s="3">
        <f>0+IF(OTDS!$B$20,VLOOKUP($B84,OTDS_AMS_DM_Spending,'OTDS Tab Calculations'!X$80-2003,FALSE),0)+IF(OTDS!$G$20,VLOOKUP($B84,OTDS_BlueBox_Spending,'OTDS Tab Calculations'!X$80-2003,FALSE),0)+IF(OTDS!$J$20,VLOOKUP($B84,OTDS_Article62_Spending,'OTDS Tab Calculations'!X$80-2003,FALSE),0)</f>
        <v>30714534273.61507</v>
      </c>
      <c r="Y84" s="3">
        <f>0+IF(OTDS!$B$20,VLOOKUP($B84,OTDS_AMS_DM_Spending,'OTDS Tab Calculations'!Y$80-2003,FALSE),0)+IF(OTDS!$G$20,VLOOKUP($B84,OTDS_BlueBox_Spending,'OTDS Tab Calculations'!Y$80-2003,FALSE),0)+IF(OTDS!$J$20,VLOOKUP($B84,OTDS_Article62_Spending,'OTDS Tab Calculations'!Y$80-2003,FALSE),0)</f>
        <v>31635970301.823521</v>
      </c>
      <c r="Z84" s="3">
        <f>0+IF(OTDS!$B$20,VLOOKUP($B84,OTDS_AMS_DM_Spending,'OTDS Tab Calculations'!Z$80-2003,FALSE),0)+IF(OTDS!$G$20,VLOOKUP($B84,OTDS_BlueBox_Spending,'OTDS Tab Calculations'!Z$80-2003,FALSE),0)+IF(OTDS!$J$20,VLOOKUP($B84,OTDS_Article62_Spending,'OTDS Tab Calculations'!Z$80-2003,FALSE),0)</f>
        <v>32585049410.878227</v>
      </c>
      <c r="AA84" s="3">
        <f>0+IF(OTDS!$B$20,VLOOKUP($B84,OTDS_AMS_DM_Spending,'OTDS Tab Calculations'!AA$80-2003,FALSE),0)+IF(OTDS!$G$20,VLOOKUP($B84,OTDS_BlueBox_Spending,'OTDS Tab Calculations'!AA$80-2003,FALSE),0)+IF(OTDS!$J$20,VLOOKUP($B84,OTDS_Article62_Spending,'OTDS Tab Calculations'!AA$80-2003,FALSE),0)</f>
        <v>33562600893.204575</v>
      </c>
    </row>
    <row r="85" spans="1:27" x14ac:dyDescent="0.25">
      <c r="A85" s="168" t="b">
        <f t="shared" si="42"/>
        <v>1</v>
      </c>
      <c r="B85" s="168" t="str">
        <f t="shared" si="43"/>
        <v>European Union</v>
      </c>
      <c r="C85" s="3">
        <f>0+IF(OTDS!$B$20,VLOOKUP($B85,OTDS_AMS_DM_Spending,'OTDS Tab Calculations'!C$80-2003,FALSE),0)+IF(OTDS!$G$20,VLOOKUP($B85,OTDS_BlueBox_Spending,'OTDS Tab Calculations'!C$80-2003,FALSE),0)+IF(OTDS!$J$20,VLOOKUP($B85,OTDS_Article62_Spending,'OTDS Tab Calculations'!C$80-2003,FALSE),0)</f>
        <v>50130708362.370712</v>
      </c>
      <c r="D85" s="3">
        <f>0+IF(OTDS!$B$20,VLOOKUP($B85,OTDS_AMS_DM_Spending,'OTDS Tab Calculations'!D$80-2003,FALSE),0)+IF(OTDS!$G$20,VLOOKUP($B85,OTDS_BlueBox_Spending,'OTDS Tab Calculations'!D$80-2003,FALSE),0)+IF(OTDS!$J$20,VLOOKUP($B85,OTDS_Article62_Spending,'OTDS Tab Calculations'!D$80-2003,FALSE),0)</f>
        <v>45810298562.338905</v>
      </c>
      <c r="E85" s="3">
        <f>0+IF(OTDS!$B$20,VLOOKUP($B85,OTDS_AMS_DM_Spending,'OTDS Tab Calculations'!E$80-2003,FALSE),0)+IF(OTDS!$G$20,VLOOKUP($B85,OTDS_BlueBox_Spending,'OTDS Tab Calculations'!E$80-2003,FALSE),0)+IF(OTDS!$J$20,VLOOKUP($B85,OTDS_Article62_Spending,'OTDS Tab Calculations'!E$80-2003,FALSE),0)</f>
        <v>28460491363.558762</v>
      </c>
      <c r="F85" s="3">
        <f>0+IF(OTDS!$B$20,VLOOKUP($B85,OTDS_AMS_DM_Spending,'OTDS Tab Calculations'!F$80-2003,FALSE),0)+IF(OTDS!$G$20,VLOOKUP($B85,OTDS_BlueBox_Spending,'OTDS Tab Calculations'!F$80-2003,FALSE),0)+IF(OTDS!$J$20,VLOOKUP($B85,OTDS_Article62_Spending,'OTDS Tab Calculations'!F$80-2003,FALSE),0)</f>
        <v>25010682726.061134</v>
      </c>
      <c r="G85" s="3">
        <f>0+IF(OTDS!$B$20,VLOOKUP($B85,OTDS_AMS_DM_Spending,'OTDS Tab Calculations'!G$80-2003,FALSE),0)+IF(OTDS!$G$20,VLOOKUP($B85,OTDS_BlueBox_Spending,'OTDS Tab Calculations'!G$80-2003,FALSE),0)+IF(OTDS!$J$20,VLOOKUP($B85,OTDS_Article62_Spending,'OTDS Tab Calculations'!G$80-2003,FALSE),0)</f>
        <v>20306811423.411617</v>
      </c>
      <c r="H85" s="3">
        <f>0+IF(OTDS!$B$20,VLOOKUP($B85,OTDS_AMS_DM_Spending,'OTDS Tab Calculations'!H$80-2003,FALSE),0)+IF(OTDS!$G$20,VLOOKUP($B85,OTDS_BlueBox_Spending,'OTDS Tab Calculations'!H$80-2003,FALSE),0)+IF(OTDS!$J$20,VLOOKUP($B85,OTDS_Article62_Spending,'OTDS Tab Calculations'!H$80-2003,FALSE),0)</f>
        <v>15107751189.974239</v>
      </c>
      <c r="I85" s="3">
        <f>0+IF(OTDS!$B$20,VLOOKUP($B85,OTDS_AMS_DM_Spending,'OTDS Tab Calculations'!I$80-2003,FALSE),0)+IF(OTDS!$G$20,VLOOKUP($B85,OTDS_BlueBox_Spending,'OTDS Tab Calculations'!I$80-2003,FALSE),0)+IF(OTDS!$J$20,VLOOKUP($B85,OTDS_Article62_Spending,'OTDS Tab Calculations'!I$80-2003,FALSE),0)</f>
        <v>13772043770.318926</v>
      </c>
      <c r="J85" s="3">
        <f>0+IF(OTDS!$B$20,VLOOKUP($B85,OTDS_AMS_DM_Spending,'OTDS Tab Calculations'!J$80-2003,FALSE),0)+IF(OTDS!$G$20,VLOOKUP($B85,OTDS_BlueBox_Spending,'OTDS Tab Calculations'!J$80-2003,FALSE),0)+IF(OTDS!$J$20,VLOOKUP($B85,OTDS_Article62_Spending,'OTDS Tab Calculations'!J$80-2003,FALSE),0)</f>
        <v>13668291978.479477</v>
      </c>
      <c r="K85" s="3">
        <f>0+IF(OTDS!$B$20,VLOOKUP($B85,OTDS_AMS_DM_Spending,'OTDS Tab Calculations'!K$80-2003,FALSE),0)+IF(OTDS!$G$20,VLOOKUP($B85,OTDS_BlueBox_Spending,'OTDS Tab Calculations'!K$80-2003,FALSE),0)+IF(OTDS!$J$20,VLOOKUP($B85,OTDS_Article62_Spending,'OTDS Tab Calculations'!K$80-2003,FALSE),0)</f>
        <v>14078340737.83386</v>
      </c>
      <c r="L85" s="3">
        <f>0+IF(OTDS!$B$20,VLOOKUP($B85,OTDS_AMS_DM_Spending,'OTDS Tab Calculations'!L$80-2003,FALSE),0)+IF(OTDS!$G$20,VLOOKUP($B85,OTDS_BlueBox_Spending,'OTDS Tab Calculations'!L$80-2003,FALSE),0)+IF(OTDS!$J$20,VLOOKUP($B85,OTDS_Article62_Spending,'OTDS Tab Calculations'!L$80-2003,FALSE),0)</f>
        <v>14500690959.968876</v>
      </c>
      <c r="M85" s="3">
        <f>0+IF(OTDS!$B$20,VLOOKUP($B85,OTDS_AMS_DM_Spending,'OTDS Tab Calculations'!M$80-2003,FALSE),0)+IF(OTDS!$G$20,VLOOKUP($B85,OTDS_BlueBox_Spending,'OTDS Tab Calculations'!M$80-2003,FALSE),0)+IF(OTDS!$J$20,VLOOKUP($B85,OTDS_Article62_Spending,'OTDS Tab Calculations'!M$80-2003,FALSE),0)</f>
        <v>14935711688.767944</v>
      </c>
      <c r="N85" s="3">
        <f>0+IF(OTDS!$B$20,VLOOKUP($B85,OTDS_AMS_DM_Spending,'OTDS Tab Calculations'!N$80-2003,FALSE),0)+IF(OTDS!$G$20,VLOOKUP($B85,OTDS_BlueBox_Spending,'OTDS Tab Calculations'!N$80-2003,FALSE),0)+IF(OTDS!$J$20,VLOOKUP($B85,OTDS_Article62_Spending,'OTDS Tab Calculations'!N$80-2003,FALSE),0)</f>
        <v>15383783039.430981</v>
      </c>
      <c r="O85" s="3">
        <f>0+IF(OTDS!$B$20,VLOOKUP($B85,OTDS_AMS_DM_Spending,'OTDS Tab Calculations'!O$80-2003,FALSE),0)+IF(OTDS!$G$20,VLOOKUP($B85,OTDS_BlueBox_Spending,'OTDS Tab Calculations'!O$80-2003,FALSE),0)+IF(OTDS!$J$20,VLOOKUP($B85,OTDS_Article62_Spending,'OTDS Tab Calculations'!O$80-2003,FALSE),0)</f>
        <v>15845296530.613911</v>
      </c>
      <c r="P85" s="3">
        <f>0+IF(OTDS!$B$20,VLOOKUP($B85,OTDS_AMS_DM_Spending,'OTDS Tab Calculations'!P$80-2003,FALSE),0)+IF(OTDS!$G$20,VLOOKUP($B85,OTDS_BlueBox_Spending,'OTDS Tab Calculations'!P$80-2003,FALSE),0)+IF(OTDS!$J$20,VLOOKUP($B85,OTDS_Article62_Spending,'OTDS Tab Calculations'!P$80-2003,FALSE),0)</f>
        <v>16320655426.53233</v>
      </c>
      <c r="Q85" s="3">
        <f>0+IF(OTDS!$B$20,VLOOKUP($B85,OTDS_AMS_DM_Spending,'OTDS Tab Calculations'!Q$80-2003,FALSE),0)+IF(OTDS!$G$20,VLOOKUP($B85,OTDS_BlueBox_Spending,'OTDS Tab Calculations'!Q$80-2003,FALSE),0)+IF(OTDS!$J$20,VLOOKUP($B85,OTDS_Article62_Spending,'OTDS Tab Calculations'!Q$80-2003,FALSE),0)</f>
        <v>16810275089.3283</v>
      </c>
      <c r="R85" s="3">
        <f>0+IF(OTDS!$B$20,VLOOKUP($B85,OTDS_AMS_DM_Spending,'OTDS Tab Calculations'!R$80-2003,FALSE),0)+IF(OTDS!$G$20,VLOOKUP($B85,OTDS_BlueBox_Spending,'OTDS Tab Calculations'!R$80-2003,FALSE),0)+IF(OTDS!$J$20,VLOOKUP($B85,OTDS_Article62_Spending,'OTDS Tab Calculations'!R$80-2003,FALSE),0)</f>
        <v>17314583342.008148</v>
      </c>
      <c r="S85" s="3">
        <f>0+IF(OTDS!$B$20,VLOOKUP($B85,OTDS_AMS_DM_Spending,'OTDS Tab Calculations'!S$80-2003,FALSE),0)+IF(OTDS!$G$20,VLOOKUP($B85,OTDS_BlueBox_Spending,'OTDS Tab Calculations'!S$80-2003,FALSE),0)+IF(OTDS!$J$20,VLOOKUP($B85,OTDS_Article62_Spending,'OTDS Tab Calculations'!S$80-2003,FALSE),0)</f>
        <v>17834020842.268394</v>
      </c>
      <c r="T85" s="3">
        <f>0+IF(OTDS!$B$20,VLOOKUP($B85,OTDS_AMS_DM_Spending,'OTDS Tab Calculations'!T$80-2003,FALSE),0)+IF(OTDS!$G$20,VLOOKUP($B85,OTDS_BlueBox_Spending,'OTDS Tab Calculations'!T$80-2003,FALSE),0)+IF(OTDS!$J$20,VLOOKUP($B85,OTDS_Article62_Spending,'OTDS Tab Calculations'!T$80-2003,FALSE),0)</f>
        <v>18369041467.536446</v>
      </c>
      <c r="U85" s="3">
        <f>0+IF(OTDS!$B$20,VLOOKUP($B85,OTDS_AMS_DM_Spending,'OTDS Tab Calculations'!U$80-2003,FALSE),0)+IF(OTDS!$G$20,VLOOKUP($B85,OTDS_BlueBox_Spending,'OTDS Tab Calculations'!U$80-2003,FALSE),0)+IF(OTDS!$J$20,VLOOKUP($B85,OTDS_Article62_Spending,'OTDS Tab Calculations'!U$80-2003,FALSE),0)</f>
        <v>18920112711.562538</v>
      </c>
      <c r="V85" s="3">
        <f>0+IF(OTDS!$B$20,VLOOKUP($B85,OTDS_AMS_DM_Spending,'OTDS Tab Calculations'!V$80-2003,FALSE),0)+IF(OTDS!$G$20,VLOOKUP($B85,OTDS_BlueBox_Spending,'OTDS Tab Calculations'!V$80-2003,FALSE),0)+IF(OTDS!$J$20,VLOOKUP($B85,OTDS_Article62_Spending,'OTDS Tab Calculations'!V$80-2003,FALSE),0)</f>
        <v>19487716092.909416</v>
      </c>
      <c r="W85" s="3">
        <f>0+IF(OTDS!$B$20,VLOOKUP($B85,OTDS_AMS_DM_Spending,'OTDS Tab Calculations'!W$80-2003,FALSE),0)+IF(OTDS!$G$20,VLOOKUP($B85,OTDS_BlueBox_Spending,'OTDS Tab Calculations'!W$80-2003,FALSE),0)+IF(OTDS!$J$20,VLOOKUP($B85,OTDS_Article62_Spending,'OTDS Tab Calculations'!W$80-2003,FALSE),0)</f>
        <v>20072347575.696697</v>
      </c>
      <c r="X85" s="3">
        <f>0+IF(OTDS!$B$20,VLOOKUP($B85,OTDS_AMS_DM_Spending,'OTDS Tab Calculations'!X$80-2003,FALSE),0)+IF(OTDS!$G$20,VLOOKUP($B85,OTDS_BlueBox_Spending,'OTDS Tab Calculations'!X$80-2003,FALSE),0)+IF(OTDS!$J$20,VLOOKUP($B85,OTDS_Article62_Spending,'OTDS Tab Calculations'!X$80-2003,FALSE),0)</f>
        <v>20674518002.967598</v>
      </c>
      <c r="Y85" s="3">
        <f>0+IF(OTDS!$B$20,VLOOKUP($B85,OTDS_AMS_DM_Spending,'OTDS Tab Calculations'!Y$80-2003,FALSE),0)+IF(OTDS!$G$20,VLOOKUP($B85,OTDS_BlueBox_Spending,'OTDS Tab Calculations'!Y$80-2003,FALSE),0)+IF(OTDS!$J$20,VLOOKUP($B85,OTDS_Article62_Spending,'OTDS Tab Calculations'!Y$80-2003,FALSE),0)</f>
        <v>21294753543.056625</v>
      </c>
      <c r="Z85" s="3">
        <f>0+IF(OTDS!$B$20,VLOOKUP($B85,OTDS_AMS_DM_Spending,'OTDS Tab Calculations'!Z$80-2003,FALSE),0)+IF(OTDS!$G$20,VLOOKUP($B85,OTDS_BlueBox_Spending,'OTDS Tab Calculations'!Z$80-2003,FALSE),0)+IF(OTDS!$J$20,VLOOKUP($B85,OTDS_Article62_Spending,'OTDS Tab Calculations'!Z$80-2003,FALSE),0)</f>
        <v>21933596149.348328</v>
      </c>
      <c r="AA85" s="3">
        <f>0+IF(OTDS!$B$20,VLOOKUP($B85,OTDS_AMS_DM_Spending,'OTDS Tab Calculations'!AA$80-2003,FALSE),0)+IF(OTDS!$G$20,VLOOKUP($B85,OTDS_BlueBox_Spending,'OTDS Tab Calculations'!AA$80-2003,FALSE),0)+IF(OTDS!$J$20,VLOOKUP($B85,OTDS_Article62_Spending,'OTDS Tab Calculations'!AA$80-2003,FALSE),0)</f>
        <v>22591604033.828777</v>
      </c>
    </row>
    <row r="86" spans="1:27" x14ac:dyDescent="0.25">
      <c r="A86" s="168" t="b">
        <f t="shared" si="42"/>
        <v>1</v>
      </c>
      <c r="B86" s="168" t="str">
        <f t="shared" si="43"/>
        <v>India</v>
      </c>
      <c r="C86" s="3">
        <f>0+IF(OTDS!$B$20,VLOOKUP($B86,OTDS_AMS_DM_Spending,'OTDS Tab Calculations'!C$80-2003,FALSE),0)+IF(OTDS!$G$20,VLOOKUP($B86,OTDS_BlueBox_Spending,'OTDS Tab Calculations'!C$80-2003,FALSE),0)+IF(OTDS!$J$20,VLOOKUP($B86,OTDS_Article62_Spending,'OTDS Tab Calculations'!C$80-2003,FALSE),0)</f>
        <v>1790000</v>
      </c>
      <c r="D86" s="3">
        <f>0+IF(OTDS!$B$20,VLOOKUP($B86,OTDS_AMS_DM_Spending,'OTDS Tab Calculations'!D$80-2003,FALSE),0)+IF(OTDS!$G$20,VLOOKUP($B86,OTDS_BlueBox_Spending,'OTDS Tab Calculations'!D$80-2003,FALSE),0)+IF(OTDS!$J$20,VLOOKUP($B86,OTDS_Article62_Spending,'OTDS Tab Calculations'!D$80-2003,FALSE),0)</f>
        <v>0</v>
      </c>
      <c r="E86" s="3">
        <f>0+IF(OTDS!$B$20,VLOOKUP($B86,OTDS_AMS_DM_Spending,'OTDS Tab Calculations'!E$80-2003,FALSE),0)+IF(OTDS!$G$20,VLOOKUP($B86,OTDS_BlueBox_Spending,'OTDS Tab Calculations'!E$80-2003,FALSE),0)+IF(OTDS!$J$20,VLOOKUP($B86,OTDS_Article62_Spending,'OTDS Tab Calculations'!E$80-2003,FALSE),0)</f>
        <v>432820000</v>
      </c>
      <c r="F86" s="3">
        <f>0+IF(OTDS!$B$20,VLOOKUP($B86,OTDS_AMS_DM_Spending,'OTDS Tab Calculations'!F$80-2003,FALSE),0)+IF(OTDS!$G$20,VLOOKUP($B86,OTDS_BlueBox_Spending,'OTDS Tab Calculations'!F$80-2003,FALSE),0)+IF(OTDS!$J$20,VLOOKUP($B86,OTDS_Article62_Spending,'OTDS Tab Calculations'!F$80-2003,FALSE),0)</f>
        <v>1301260000</v>
      </c>
      <c r="G86" s="3">
        <f>0+IF(OTDS!$B$20,VLOOKUP($B86,OTDS_AMS_DM_Spending,'OTDS Tab Calculations'!G$80-2003,FALSE),0)+IF(OTDS!$G$20,VLOOKUP($B86,OTDS_BlueBox_Spending,'OTDS Tab Calculations'!G$80-2003,FALSE),0)+IF(OTDS!$J$20,VLOOKUP($B86,OTDS_Article62_Spending,'OTDS Tab Calculations'!G$80-2003,FALSE),0)</f>
        <v>1730480000</v>
      </c>
      <c r="H86" s="3">
        <f>0+IF(OTDS!$B$20,VLOOKUP($B86,OTDS_AMS_DM_Spending,'OTDS Tab Calculations'!H$80-2003,FALSE),0)+IF(OTDS!$G$20,VLOOKUP($B86,OTDS_BlueBox_Spending,'OTDS Tab Calculations'!H$80-2003,FALSE),0)+IF(OTDS!$J$20,VLOOKUP($B86,OTDS_Article62_Spending,'OTDS Tab Calculations'!H$80-2003,FALSE),0)</f>
        <v>2282170000</v>
      </c>
      <c r="I86" s="3">
        <f>0+IF(OTDS!$B$20,VLOOKUP($B86,OTDS_AMS_DM_Spending,'OTDS Tab Calculations'!I$80-2003,FALSE),0)+IF(OTDS!$G$20,VLOOKUP($B86,OTDS_BlueBox_Spending,'OTDS Tab Calculations'!I$80-2003,FALSE),0)+IF(OTDS!$J$20,VLOOKUP($B86,OTDS_Article62_Spending,'OTDS Tab Calculations'!I$80-2003,FALSE),0)</f>
        <v>2350635100</v>
      </c>
      <c r="J86" s="3">
        <f>0+IF(OTDS!$B$20,VLOOKUP($B86,OTDS_AMS_DM_Spending,'OTDS Tab Calculations'!J$80-2003,FALSE),0)+IF(OTDS!$G$20,VLOOKUP($B86,OTDS_BlueBox_Spending,'OTDS Tab Calculations'!J$80-2003,FALSE),0)+IF(OTDS!$J$20,VLOOKUP($B86,OTDS_Article62_Spending,'OTDS Tab Calculations'!J$80-2003,FALSE),0)</f>
        <v>2421154153</v>
      </c>
      <c r="K86" s="3">
        <f>0+IF(OTDS!$B$20,VLOOKUP($B86,OTDS_AMS_DM_Spending,'OTDS Tab Calculations'!K$80-2003,FALSE),0)+IF(OTDS!$G$20,VLOOKUP($B86,OTDS_BlueBox_Spending,'OTDS Tab Calculations'!K$80-2003,FALSE),0)+IF(OTDS!$J$20,VLOOKUP($B86,OTDS_Article62_Spending,'OTDS Tab Calculations'!K$80-2003,FALSE),0)</f>
        <v>2493788777.5900002</v>
      </c>
      <c r="L86" s="3">
        <f>0+IF(OTDS!$B$20,VLOOKUP($B86,OTDS_AMS_DM_Spending,'OTDS Tab Calculations'!L$80-2003,FALSE),0)+IF(OTDS!$G$20,VLOOKUP($B86,OTDS_BlueBox_Spending,'OTDS Tab Calculations'!L$80-2003,FALSE),0)+IF(OTDS!$J$20,VLOOKUP($B86,OTDS_Article62_Spending,'OTDS Tab Calculations'!L$80-2003,FALSE),0)</f>
        <v>2568602440.9177003</v>
      </c>
      <c r="M86" s="3">
        <f>0+IF(OTDS!$B$20,VLOOKUP($B86,OTDS_AMS_DM_Spending,'OTDS Tab Calculations'!M$80-2003,FALSE),0)+IF(OTDS!$G$20,VLOOKUP($B86,OTDS_BlueBox_Spending,'OTDS Tab Calculations'!M$80-2003,FALSE),0)+IF(OTDS!$J$20,VLOOKUP($B86,OTDS_Article62_Spending,'OTDS Tab Calculations'!M$80-2003,FALSE),0)</f>
        <v>2645660514.1452312</v>
      </c>
      <c r="N86" s="3">
        <f>0+IF(OTDS!$B$20,VLOOKUP($B86,OTDS_AMS_DM_Spending,'OTDS Tab Calculations'!N$80-2003,FALSE),0)+IF(OTDS!$G$20,VLOOKUP($B86,OTDS_BlueBox_Spending,'OTDS Tab Calculations'!N$80-2003,FALSE),0)+IF(OTDS!$J$20,VLOOKUP($B86,OTDS_Article62_Spending,'OTDS Tab Calculations'!N$80-2003,FALSE),0)</f>
        <v>2725030329.5695882</v>
      </c>
      <c r="O86" s="3">
        <f>0+IF(OTDS!$B$20,VLOOKUP($B86,OTDS_AMS_DM_Spending,'OTDS Tab Calculations'!O$80-2003,FALSE),0)+IF(OTDS!$G$20,VLOOKUP($B86,OTDS_BlueBox_Spending,'OTDS Tab Calculations'!O$80-2003,FALSE),0)+IF(OTDS!$J$20,VLOOKUP($B86,OTDS_Article62_Spending,'OTDS Tab Calculations'!O$80-2003,FALSE),0)</f>
        <v>2806781239.456676</v>
      </c>
      <c r="P86" s="3">
        <f>0+IF(OTDS!$B$20,VLOOKUP($B86,OTDS_AMS_DM_Spending,'OTDS Tab Calculations'!P$80-2003,FALSE),0)+IF(OTDS!$G$20,VLOOKUP($B86,OTDS_BlueBox_Spending,'OTDS Tab Calculations'!P$80-2003,FALSE),0)+IF(OTDS!$J$20,VLOOKUP($B86,OTDS_Article62_Spending,'OTDS Tab Calculations'!P$80-2003,FALSE),0)</f>
        <v>2890984676.6403761</v>
      </c>
      <c r="Q86" s="3">
        <f>0+IF(OTDS!$B$20,VLOOKUP($B86,OTDS_AMS_DM_Spending,'OTDS Tab Calculations'!Q$80-2003,FALSE),0)+IF(OTDS!$G$20,VLOOKUP($B86,OTDS_BlueBox_Spending,'OTDS Tab Calculations'!Q$80-2003,FALSE),0)+IF(OTDS!$J$20,VLOOKUP($B86,OTDS_Article62_Spending,'OTDS Tab Calculations'!Q$80-2003,FALSE),0)</f>
        <v>2977714216.9395876</v>
      </c>
      <c r="R86" s="3">
        <f>0+IF(OTDS!$B$20,VLOOKUP($B86,OTDS_AMS_DM_Spending,'OTDS Tab Calculations'!R$80-2003,FALSE),0)+IF(OTDS!$G$20,VLOOKUP($B86,OTDS_BlueBox_Spending,'OTDS Tab Calculations'!R$80-2003,FALSE),0)+IF(OTDS!$J$20,VLOOKUP($B86,OTDS_Article62_Spending,'OTDS Tab Calculations'!R$80-2003,FALSE),0)</f>
        <v>3067045643.4477754</v>
      </c>
      <c r="S86" s="3">
        <f>0+IF(OTDS!$B$20,VLOOKUP($B86,OTDS_AMS_DM_Spending,'OTDS Tab Calculations'!S$80-2003,FALSE),0)+IF(OTDS!$G$20,VLOOKUP($B86,OTDS_BlueBox_Spending,'OTDS Tab Calculations'!S$80-2003,FALSE),0)+IF(OTDS!$J$20,VLOOKUP($B86,OTDS_Article62_Spending,'OTDS Tab Calculations'!S$80-2003,FALSE),0)</f>
        <v>3159057012.7512088</v>
      </c>
      <c r="T86" s="3">
        <f>0+IF(OTDS!$B$20,VLOOKUP($B86,OTDS_AMS_DM_Spending,'OTDS Tab Calculations'!T$80-2003,FALSE),0)+IF(OTDS!$G$20,VLOOKUP($B86,OTDS_BlueBox_Spending,'OTDS Tab Calculations'!T$80-2003,FALSE),0)+IF(OTDS!$J$20,VLOOKUP($B86,OTDS_Article62_Spending,'OTDS Tab Calculations'!T$80-2003,FALSE),0)</f>
        <v>3253828723.1337452</v>
      </c>
      <c r="U86" s="3">
        <f>0+IF(OTDS!$B$20,VLOOKUP($B86,OTDS_AMS_DM_Spending,'OTDS Tab Calculations'!U$80-2003,FALSE),0)+IF(OTDS!$G$20,VLOOKUP($B86,OTDS_BlueBox_Spending,'OTDS Tab Calculations'!U$80-2003,FALSE),0)+IF(OTDS!$J$20,VLOOKUP($B86,OTDS_Article62_Spending,'OTDS Tab Calculations'!U$80-2003,FALSE),0)</f>
        <v>3351443584.8277574</v>
      </c>
      <c r="V86" s="3">
        <f>0+IF(OTDS!$B$20,VLOOKUP($B86,OTDS_AMS_DM_Spending,'OTDS Tab Calculations'!V$80-2003,FALSE),0)+IF(OTDS!$G$20,VLOOKUP($B86,OTDS_BlueBox_Spending,'OTDS Tab Calculations'!V$80-2003,FALSE),0)+IF(OTDS!$J$20,VLOOKUP($B86,OTDS_Article62_Spending,'OTDS Tab Calculations'!V$80-2003,FALSE),0)</f>
        <v>3451986892.3725901</v>
      </c>
      <c r="W86" s="3">
        <f>0+IF(OTDS!$B$20,VLOOKUP($B86,OTDS_AMS_DM_Spending,'OTDS Tab Calculations'!W$80-2003,FALSE),0)+IF(OTDS!$G$20,VLOOKUP($B86,OTDS_BlueBox_Spending,'OTDS Tab Calculations'!W$80-2003,FALSE),0)+IF(OTDS!$J$20,VLOOKUP($B86,OTDS_Article62_Spending,'OTDS Tab Calculations'!W$80-2003,FALSE),0)</f>
        <v>3555546499.1437678</v>
      </c>
      <c r="X86" s="3">
        <f>0+IF(OTDS!$B$20,VLOOKUP($B86,OTDS_AMS_DM_Spending,'OTDS Tab Calculations'!X$80-2003,FALSE),0)+IF(OTDS!$G$20,VLOOKUP($B86,OTDS_BlueBox_Spending,'OTDS Tab Calculations'!X$80-2003,FALSE),0)+IF(OTDS!$J$20,VLOOKUP($B86,OTDS_Article62_Spending,'OTDS Tab Calculations'!X$80-2003,FALSE),0)</f>
        <v>3662212894.1180811</v>
      </c>
      <c r="Y86" s="3">
        <f>0+IF(OTDS!$B$20,VLOOKUP($B86,OTDS_AMS_DM_Spending,'OTDS Tab Calculations'!Y$80-2003,FALSE),0)+IF(OTDS!$G$20,VLOOKUP($B86,OTDS_BlueBox_Spending,'OTDS Tab Calculations'!Y$80-2003,FALSE),0)+IF(OTDS!$J$20,VLOOKUP($B86,OTDS_Article62_Spending,'OTDS Tab Calculations'!Y$80-2003,FALSE),0)</f>
        <v>3772079280.9416237</v>
      </c>
      <c r="Z86" s="3">
        <f>0+IF(OTDS!$B$20,VLOOKUP($B86,OTDS_AMS_DM_Spending,'OTDS Tab Calculations'!Z$80-2003,FALSE),0)+IF(OTDS!$G$20,VLOOKUP($B86,OTDS_BlueBox_Spending,'OTDS Tab Calculations'!Z$80-2003,FALSE),0)+IF(OTDS!$J$20,VLOOKUP($B86,OTDS_Article62_Spending,'OTDS Tab Calculations'!Z$80-2003,FALSE),0)</f>
        <v>3885241659.3698726</v>
      </c>
      <c r="AA86" s="3">
        <f>0+IF(OTDS!$B$20,VLOOKUP($B86,OTDS_AMS_DM_Spending,'OTDS Tab Calculations'!AA$80-2003,FALSE),0)+IF(OTDS!$G$20,VLOOKUP($B86,OTDS_BlueBox_Spending,'OTDS Tab Calculations'!AA$80-2003,FALSE),0)+IF(OTDS!$J$20,VLOOKUP($B86,OTDS_Article62_Spending,'OTDS Tab Calculations'!AA$80-2003,FALSE),0)</f>
        <v>4001798909.1509686</v>
      </c>
    </row>
    <row r="87" spans="1:27" x14ac:dyDescent="0.25">
      <c r="A87" s="168" t="b">
        <f t="shared" si="42"/>
        <v>1</v>
      </c>
      <c r="B87" s="168" t="str">
        <f t="shared" si="43"/>
        <v>Indonesia</v>
      </c>
      <c r="C87" s="3">
        <f>0+IF(OTDS!$B$20,VLOOKUP($B87,OTDS_AMS_DM_Spending,'OTDS Tab Calculations'!C$80-2003,FALSE),0)+IF(OTDS!$G$20,VLOOKUP($B87,OTDS_BlueBox_Spending,'OTDS Tab Calculations'!C$80-2003,FALSE),0)+IF(OTDS!$J$20,VLOOKUP($B87,OTDS_Article62_Spending,'OTDS Tab Calculations'!C$80-2003,FALSE),0)</f>
        <v>0</v>
      </c>
      <c r="D87" s="3">
        <f>0+IF(OTDS!$B$20,VLOOKUP($B87,OTDS_AMS_DM_Spending,'OTDS Tab Calculations'!D$80-2003,FALSE),0)+IF(OTDS!$G$20,VLOOKUP($B87,OTDS_BlueBox_Spending,'OTDS Tab Calculations'!D$80-2003,FALSE),0)+IF(OTDS!$J$20,VLOOKUP($B87,OTDS_Article62_Spending,'OTDS Tab Calculations'!D$80-2003,FALSE),0)</f>
        <v>0</v>
      </c>
      <c r="E87" s="3">
        <f>0+IF(OTDS!$B$20,VLOOKUP($B87,OTDS_AMS_DM_Spending,'OTDS Tab Calculations'!E$80-2003,FALSE),0)+IF(OTDS!$G$20,VLOOKUP($B87,OTDS_BlueBox_Spending,'OTDS Tab Calculations'!E$80-2003,FALSE),0)+IF(OTDS!$J$20,VLOOKUP($B87,OTDS_Article62_Spending,'OTDS Tab Calculations'!E$80-2003,FALSE),0)</f>
        <v>0</v>
      </c>
      <c r="F87" s="3">
        <f>0+IF(OTDS!$B$20,VLOOKUP($B87,OTDS_AMS_DM_Spending,'OTDS Tab Calculations'!F$80-2003,FALSE),0)+IF(OTDS!$G$20,VLOOKUP($B87,OTDS_BlueBox_Spending,'OTDS Tab Calculations'!F$80-2003,FALSE),0)+IF(OTDS!$J$20,VLOOKUP($B87,OTDS_Article62_Spending,'OTDS Tab Calculations'!F$80-2003,FALSE),0)</f>
        <v>0</v>
      </c>
      <c r="G87" s="3">
        <f>0+IF(OTDS!$B$20,VLOOKUP($B87,OTDS_AMS_DM_Spending,'OTDS Tab Calculations'!G$80-2003,FALSE),0)+IF(OTDS!$G$20,VLOOKUP($B87,OTDS_BlueBox_Spending,'OTDS Tab Calculations'!G$80-2003,FALSE),0)+IF(OTDS!$J$20,VLOOKUP($B87,OTDS_Article62_Spending,'OTDS Tab Calculations'!G$80-2003,FALSE),0)</f>
        <v>0</v>
      </c>
      <c r="H87" s="3">
        <f>0+IF(OTDS!$B$20,VLOOKUP($B87,OTDS_AMS_DM_Spending,'OTDS Tab Calculations'!H$80-2003,FALSE),0)+IF(OTDS!$G$20,VLOOKUP($B87,OTDS_BlueBox_Spending,'OTDS Tab Calculations'!H$80-2003,FALSE),0)+IF(OTDS!$J$20,VLOOKUP($B87,OTDS_Article62_Spending,'OTDS Tab Calculations'!H$80-2003,FALSE),0)</f>
        <v>0</v>
      </c>
      <c r="I87" s="3">
        <f>0+IF(OTDS!$B$20,VLOOKUP($B87,OTDS_AMS_DM_Spending,'OTDS Tab Calculations'!I$80-2003,FALSE),0)+IF(OTDS!$G$20,VLOOKUP($B87,OTDS_BlueBox_Spending,'OTDS Tab Calculations'!I$80-2003,FALSE),0)+IF(OTDS!$J$20,VLOOKUP($B87,OTDS_Article62_Spending,'OTDS Tab Calculations'!I$80-2003,FALSE),0)</f>
        <v>0</v>
      </c>
      <c r="J87" s="3">
        <f>0+IF(OTDS!$B$20,VLOOKUP($B87,OTDS_AMS_DM_Spending,'OTDS Tab Calculations'!J$80-2003,FALSE),0)+IF(OTDS!$G$20,VLOOKUP($B87,OTDS_BlueBox_Spending,'OTDS Tab Calculations'!J$80-2003,FALSE),0)+IF(OTDS!$J$20,VLOOKUP($B87,OTDS_Article62_Spending,'OTDS Tab Calculations'!J$80-2003,FALSE),0)</f>
        <v>0</v>
      </c>
      <c r="K87" s="3">
        <f>0+IF(OTDS!$B$20,VLOOKUP($B87,OTDS_AMS_DM_Spending,'OTDS Tab Calculations'!K$80-2003,FALSE),0)+IF(OTDS!$G$20,VLOOKUP($B87,OTDS_BlueBox_Spending,'OTDS Tab Calculations'!K$80-2003,FALSE),0)+IF(OTDS!$J$20,VLOOKUP($B87,OTDS_Article62_Spending,'OTDS Tab Calculations'!K$80-2003,FALSE),0)</f>
        <v>0</v>
      </c>
      <c r="L87" s="3">
        <f>0+IF(OTDS!$B$20,VLOOKUP($B87,OTDS_AMS_DM_Spending,'OTDS Tab Calculations'!L$80-2003,FALSE),0)+IF(OTDS!$G$20,VLOOKUP($B87,OTDS_BlueBox_Spending,'OTDS Tab Calculations'!L$80-2003,FALSE),0)+IF(OTDS!$J$20,VLOOKUP($B87,OTDS_Article62_Spending,'OTDS Tab Calculations'!L$80-2003,FALSE),0)</f>
        <v>0</v>
      </c>
      <c r="M87" s="3">
        <f>0+IF(OTDS!$B$20,VLOOKUP($B87,OTDS_AMS_DM_Spending,'OTDS Tab Calculations'!M$80-2003,FALSE),0)+IF(OTDS!$G$20,VLOOKUP($B87,OTDS_BlueBox_Spending,'OTDS Tab Calculations'!M$80-2003,FALSE),0)+IF(OTDS!$J$20,VLOOKUP($B87,OTDS_Article62_Spending,'OTDS Tab Calculations'!M$80-2003,FALSE),0)</f>
        <v>0</v>
      </c>
      <c r="N87" s="3">
        <f>0+IF(OTDS!$B$20,VLOOKUP($B87,OTDS_AMS_DM_Spending,'OTDS Tab Calculations'!N$80-2003,FALSE),0)+IF(OTDS!$G$20,VLOOKUP($B87,OTDS_BlueBox_Spending,'OTDS Tab Calculations'!N$80-2003,FALSE),0)+IF(OTDS!$J$20,VLOOKUP($B87,OTDS_Article62_Spending,'OTDS Tab Calculations'!N$80-2003,FALSE),0)</f>
        <v>0</v>
      </c>
      <c r="O87" s="3">
        <f>0+IF(OTDS!$B$20,VLOOKUP($B87,OTDS_AMS_DM_Spending,'OTDS Tab Calculations'!O$80-2003,FALSE),0)+IF(OTDS!$G$20,VLOOKUP($B87,OTDS_BlueBox_Spending,'OTDS Tab Calculations'!O$80-2003,FALSE),0)+IF(OTDS!$J$20,VLOOKUP($B87,OTDS_Article62_Spending,'OTDS Tab Calculations'!O$80-2003,FALSE),0)</f>
        <v>0</v>
      </c>
      <c r="P87" s="3">
        <f>0+IF(OTDS!$B$20,VLOOKUP($B87,OTDS_AMS_DM_Spending,'OTDS Tab Calculations'!P$80-2003,FALSE),0)+IF(OTDS!$G$20,VLOOKUP($B87,OTDS_BlueBox_Spending,'OTDS Tab Calculations'!P$80-2003,FALSE),0)+IF(OTDS!$J$20,VLOOKUP($B87,OTDS_Article62_Spending,'OTDS Tab Calculations'!P$80-2003,FALSE),0)</f>
        <v>0</v>
      </c>
      <c r="Q87" s="3">
        <f>0+IF(OTDS!$B$20,VLOOKUP($B87,OTDS_AMS_DM_Spending,'OTDS Tab Calculations'!Q$80-2003,FALSE),0)+IF(OTDS!$G$20,VLOOKUP($B87,OTDS_BlueBox_Spending,'OTDS Tab Calculations'!Q$80-2003,FALSE),0)+IF(OTDS!$J$20,VLOOKUP($B87,OTDS_Article62_Spending,'OTDS Tab Calculations'!Q$80-2003,FALSE),0)</f>
        <v>0</v>
      </c>
      <c r="R87" s="3">
        <f>0+IF(OTDS!$B$20,VLOOKUP($B87,OTDS_AMS_DM_Spending,'OTDS Tab Calculations'!R$80-2003,FALSE),0)+IF(OTDS!$G$20,VLOOKUP($B87,OTDS_BlueBox_Spending,'OTDS Tab Calculations'!R$80-2003,FALSE),0)+IF(OTDS!$J$20,VLOOKUP($B87,OTDS_Article62_Spending,'OTDS Tab Calculations'!R$80-2003,FALSE),0)</f>
        <v>0</v>
      </c>
      <c r="S87" s="3">
        <f>0+IF(OTDS!$B$20,VLOOKUP($B87,OTDS_AMS_DM_Spending,'OTDS Tab Calculations'!S$80-2003,FALSE),0)+IF(OTDS!$G$20,VLOOKUP($B87,OTDS_BlueBox_Spending,'OTDS Tab Calculations'!S$80-2003,FALSE),0)+IF(OTDS!$J$20,VLOOKUP($B87,OTDS_Article62_Spending,'OTDS Tab Calculations'!S$80-2003,FALSE),0)</f>
        <v>0</v>
      </c>
      <c r="T87" s="3">
        <f>0+IF(OTDS!$B$20,VLOOKUP($B87,OTDS_AMS_DM_Spending,'OTDS Tab Calculations'!T$80-2003,FALSE),0)+IF(OTDS!$G$20,VLOOKUP($B87,OTDS_BlueBox_Spending,'OTDS Tab Calculations'!T$80-2003,FALSE),0)+IF(OTDS!$J$20,VLOOKUP($B87,OTDS_Article62_Spending,'OTDS Tab Calculations'!T$80-2003,FALSE),0)</f>
        <v>0</v>
      </c>
      <c r="U87" s="3">
        <f>0+IF(OTDS!$B$20,VLOOKUP($B87,OTDS_AMS_DM_Spending,'OTDS Tab Calculations'!U$80-2003,FALSE),0)+IF(OTDS!$G$20,VLOOKUP($B87,OTDS_BlueBox_Spending,'OTDS Tab Calculations'!U$80-2003,FALSE),0)+IF(OTDS!$J$20,VLOOKUP($B87,OTDS_Article62_Spending,'OTDS Tab Calculations'!U$80-2003,FALSE),0)</f>
        <v>0</v>
      </c>
      <c r="V87" s="3">
        <f>0+IF(OTDS!$B$20,VLOOKUP($B87,OTDS_AMS_DM_Spending,'OTDS Tab Calculations'!V$80-2003,FALSE),0)+IF(OTDS!$G$20,VLOOKUP($B87,OTDS_BlueBox_Spending,'OTDS Tab Calculations'!V$80-2003,FALSE),0)+IF(OTDS!$J$20,VLOOKUP($B87,OTDS_Article62_Spending,'OTDS Tab Calculations'!V$80-2003,FALSE),0)</f>
        <v>0</v>
      </c>
      <c r="W87" s="3">
        <f>0+IF(OTDS!$B$20,VLOOKUP($B87,OTDS_AMS_DM_Spending,'OTDS Tab Calculations'!W$80-2003,FALSE),0)+IF(OTDS!$G$20,VLOOKUP($B87,OTDS_BlueBox_Spending,'OTDS Tab Calculations'!W$80-2003,FALSE),0)+IF(OTDS!$J$20,VLOOKUP($B87,OTDS_Article62_Spending,'OTDS Tab Calculations'!W$80-2003,FALSE),0)</f>
        <v>0</v>
      </c>
      <c r="X87" s="3">
        <f>0+IF(OTDS!$B$20,VLOOKUP($B87,OTDS_AMS_DM_Spending,'OTDS Tab Calculations'!X$80-2003,FALSE),0)+IF(OTDS!$G$20,VLOOKUP($B87,OTDS_BlueBox_Spending,'OTDS Tab Calculations'!X$80-2003,FALSE),0)+IF(OTDS!$J$20,VLOOKUP($B87,OTDS_Article62_Spending,'OTDS Tab Calculations'!X$80-2003,FALSE),0)</f>
        <v>0</v>
      </c>
      <c r="Y87" s="3">
        <f>0+IF(OTDS!$B$20,VLOOKUP($B87,OTDS_AMS_DM_Spending,'OTDS Tab Calculations'!Y$80-2003,FALSE),0)+IF(OTDS!$G$20,VLOOKUP($B87,OTDS_BlueBox_Spending,'OTDS Tab Calculations'!Y$80-2003,FALSE),0)+IF(OTDS!$J$20,VLOOKUP($B87,OTDS_Article62_Spending,'OTDS Tab Calculations'!Y$80-2003,FALSE),0)</f>
        <v>0</v>
      </c>
      <c r="Z87" s="3">
        <f>0+IF(OTDS!$B$20,VLOOKUP($B87,OTDS_AMS_DM_Spending,'OTDS Tab Calculations'!Z$80-2003,FALSE),0)+IF(OTDS!$G$20,VLOOKUP($B87,OTDS_BlueBox_Spending,'OTDS Tab Calculations'!Z$80-2003,FALSE),0)+IF(OTDS!$J$20,VLOOKUP($B87,OTDS_Article62_Spending,'OTDS Tab Calculations'!Z$80-2003,FALSE),0)</f>
        <v>0</v>
      </c>
      <c r="AA87" s="3">
        <f>0+IF(OTDS!$B$20,VLOOKUP($B87,OTDS_AMS_DM_Spending,'OTDS Tab Calculations'!AA$80-2003,FALSE),0)+IF(OTDS!$G$20,VLOOKUP($B87,OTDS_BlueBox_Spending,'OTDS Tab Calculations'!AA$80-2003,FALSE),0)+IF(OTDS!$J$20,VLOOKUP($B87,OTDS_Article62_Spending,'OTDS Tab Calculations'!AA$80-2003,FALSE),0)</f>
        <v>0</v>
      </c>
    </row>
    <row r="88" spans="1:27" x14ac:dyDescent="0.25">
      <c r="A88" s="168" t="b">
        <f t="shared" si="42"/>
        <v>1</v>
      </c>
      <c r="B88" s="168" t="str">
        <f t="shared" si="43"/>
        <v>Japan</v>
      </c>
      <c r="C88" s="3">
        <f>0+IF(OTDS!$B$20,VLOOKUP($B88,OTDS_AMS_DM_Spending,'OTDS Tab Calculations'!C$80-2003,FALSE),0)+IF(OTDS!$G$20,VLOOKUP($B88,OTDS_BlueBox_Spending,'OTDS Tab Calculations'!C$80-2003,FALSE),0)+IF(OTDS!$J$20,VLOOKUP($B88,OTDS_Article62_Spending,'OTDS Tab Calculations'!C$80-2003,FALSE),0)</f>
        <v>5739896352.0922861</v>
      </c>
      <c r="D88" s="3">
        <f>0+IF(OTDS!$B$20,VLOOKUP($B88,OTDS_AMS_DM_Spending,'OTDS Tab Calculations'!D$80-2003,FALSE),0)+IF(OTDS!$G$20,VLOOKUP($B88,OTDS_BlueBox_Spending,'OTDS Tab Calculations'!D$80-2003,FALSE),0)+IF(OTDS!$J$20,VLOOKUP($B88,OTDS_Article62_Spending,'OTDS Tab Calculations'!D$80-2003,FALSE),0)</f>
        <v>4568140161.8981361</v>
      </c>
      <c r="E88" s="3">
        <f>0+IF(OTDS!$B$20,VLOOKUP($B88,OTDS_AMS_DM_Spending,'OTDS Tab Calculations'!E$80-2003,FALSE),0)+IF(OTDS!$G$20,VLOOKUP($B88,OTDS_BlueBox_Spending,'OTDS Tab Calculations'!E$80-2003,FALSE),0)+IF(OTDS!$J$20,VLOOKUP($B88,OTDS_Article62_Spending,'OTDS Tab Calculations'!E$80-2003,FALSE),0)</f>
        <v>6331214356.9986429</v>
      </c>
      <c r="F88" s="3">
        <f>0+IF(OTDS!$B$20,VLOOKUP($B88,OTDS_AMS_DM_Spending,'OTDS Tab Calculations'!F$80-2003,FALSE),0)+IF(OTDS!$G$20,VLOOKUP($B88,OTDS_BlueBox_Spending,'OTDS Tab Calculations'!F$80-2003,FALSE),0)+IF(OTDS!$J$20,VLOOKUP($B88,OTDS_Article62_Spending,'OTDS Tab Calculations'!F$80-2003,FALSE),0)</f>
        <v>7440396417.4832811</v>
      </c>
      <c r="G88" s="3">
        <f>0+IF(OTDS!$B$20,VLOOKUP($B88,OTDS_AMS_DM_Spending,'OTDS Tab Calculations'!G$80-2003,FALSE),0)+IF(OTDS!$G$20,VLOOKUP($B88,OTDS_BlueBox_Spending,'OTDS Tab Calculations'!G$80-2003,FALSE),0)+IF(OTDS!$J$20,VLOOKUP($B88,OTDS_Article62_Spending,'OTDS Tab Calculations'!G$80-2003,FALSE),0)</f>
        <v>10274319661.257708</v>
      </c>
      <c r="H88" s="3">
        <f>0+IF(OTDS!$B$20,VLOOKUP($B88,OTDS_AMS_DM_Spending,'OTDS Tab Calculations'!H$80-2003,FALSE),0)+IF(OTDS!$G$20,VLOOKUP($B88,OTDS_BlueBox_Spending,'OTDS Tab Calculations'!H$80-2003,FALSE),0)+IF(OTDS!$J$20,VLOOKUP($B88,OTDS_Article62_Spending,'OTDS Tab Calculations'!H$80-2003,FALSE),0)</f>
        <v>10043463289.299847</v>
      </c>
      <c r="I88" s="3">
        <f>0+IF(OTDS!$B$20,VLOOKUP($B88,OTDS_AMS_DM_Spending,'OTDS Tab Calculations'!I$80-2003,FALSE),0)+IF(OTDS!$G$20,VLOOKUP($B88,OTDS_BlueBox_Spending,'OTDS Tab Calculations'!I$80-2003,FALSE),0)+IF(OTDS!$J$20,VLOOKUP($B88,OTDS_Article62_Spending,'OTDS Tab Calculations'!I$80-2003,FALSE),0)</f>
        <v>10617130231.302521</v>
      </c>
      <c r="J88" s="3">
        <f>0+IF(OTDS!$B$20,VLOOKUP($B88,OTDS_AMS_DM_Spending,'OTDS Tab Calculations'!J$80-2003,FALSE),0)+IF(OTDS!$G$20,VLOOKUP($B88,OTDS_BlueBox_Spending,'OTDS Tab Calculations'!J$80-2003,FALSE),0)+IF(OTDS!$J$20,VLOOKUP($B88,OTDS_Article62_Spending,'OTDS Tab Calculations'!J$80-2003,FALSE),0)</f>
        <v>10935644138.241596</v>
      </c>
      <c r="K88" s="3">
        <f>0+IF(OTDS!$B$20,VLOOKUP($B88,OTDS_AMS_DM_Spending,'OTDS Tab Calculations'!K$80-2003,FALSE),0)+IF(OTDS!$G$20,VLOOKUP($B88,OTDS_BlueBox_Spending,'OTDS Tab Calculations'!K$80-2003,FALSE),0)+IF(OTDS!$J$20,VLOOKUP($B88,OTDS_Article62_Spending,'OTDS Tab Calculations'!K$80-2003,FALSE),0)</f>
        <v>11263713462.388845</v>
      </c>
      <c r="L88" s="3">
        <f>0+IF(OTDS!$B$20,VLOOKUP($B88,OTDS_AMS_DM_Spending,'OTDS Tab Calculations'!L$80-2003,FALSE),0)+IF(OTDS!$G$20,VLOOKUP($B88,OTDS_BlueBox_Spending,'OTDS Tab Calculations'!L$80-2003,FALSE),0)+IF(OTDS!$J$20,VLOOKUP($B88,OTDS_Article62_Spending,'OTDS Tab Calculations'!L$80-2003,FALSE),0)</f>
        <v>11601624866.260511</v>
      </c>
      <c r="M88" s="3">
        <f>0+IF(OTDS!$B$20,VLOOKUP($B88,OTDS_AMS_DM_Spending,'OTDS Tab Calculations'!M$80-2003,FALSE),0)+IF(OTDS!$G$20,VLOOKUP($B88,OTDS_BlueBox_Spending,'OTDS Tab Calculations'!M$80-2003,FALSE),0)+IF(OTDS!$J$20,VLOOKUP($B88,OTDS_Article62_Spending,'OTDS Tab Calculations'!M$80-2003,FALSE),0)</f>
        <v>11949673612.248325</v>
      </c>
      <c r="N88" s="3">
        <f>0+IF(OTDS!$B$20,VLOOKUP($B88,OTDS_AMS_DM_Spending,'OTDS Tab Calculations'!N$80-2003,FALSE),0)+IF(OTDS!$G$20,VLOOKUP($B88,OTDS_BlueBox_Spending,'OTDS Tab Calculations'!N$80-2003,FALSE),0)+IF(OTDS!$J$20,VLOOKUP($B88,OTDS_Article62_Spending,'OTDS Tab Calculations'!N$80-2003,FALSE),0)</f>
        <v>12308163820.615776</v>
      </c>
      <c r="O88" s="3">
        <f>0+IF(OTDS!$B$20,VLOOKUP($B88,OTDS_AMS_DM_Spending,'OTDS Tab Calculations'!O$80-2003,FALSE),0)+IF(OTDS!$G$20,VLOOKUP($B88,OTDS_BlueBox_Spending,'OTDS Tab Calculations'!O$80-2003,FALSE),0)+IF(OTDS!$J$20,VLOOKUP($B88,OTDS_Article62_Spending,'OTDS Tab Calculations'!O$80-2003,FALSE),0)</f>
        <v>12677408735.234249</v>
      </c>
      <c r="P88" s="3">
        <f>0+IF(OTDS!$B$20,VLOOKUP($B88,OTDS_AMS_DM_Spending,'OTDS Tab Calculations'!P$80-2003,FALSE),0)+IF(OTDS!$G$20,VLOOKUP($B88,OTDS_BlueBox_Spending,'OTDS Tab Calculations'!P$80-2003,FALSE),0)+IF(OTDS!$J$20,VLOOKUP($B88,OTDS_Article62_Spending,'OTDS Tab Calculations'!P$80-2003,FALSE),0)</f>
        <v>13057730997.291277</v>
      </c>
      <c r="Q88" s="3">
        <f>0+IF(OTDS!$B$20,VLOOKUP($B88,OTDS_AMS_DM_Spending,'OTDS Tab Calculations'!Q$80-2003,FALSE),0)+IF(OTDS!$G$20,VLOOKUP($B88,OTDS_BlueBox_Spending,'OTDS Tab Calculations'!Q$80-2003,FALSE),0)+IF(OTDS!$J$20,VLOOKUP($B88,OTDS_Article62_Spending,'OTDS Tab Calculations'!Q$80-2003,FALSE),0)</f>
        <v>13449462927.210014</v>
      </c>
      <c r="R88" s="3">
        <f>0+IF(OTDS!$B$20,VLOOKUP($B88,OTDS_AMS_DM_Spending,'OTDS Tab Calculations'!R$80-2003,FALSE),0)+IF(OTDS!$G$20,VLOOKUP($B88,OTDS_BlueBox_Spending,'OTDS Tab Calculations'!R$80-2003,FALSE),0)+IF(OTDS!$J$20,VLOOKUP($B88,OTDS_Article62_Spending,'OTDS Tab Calculations'!R$80-2003,FALSE),0)</f>
        <v>13852946815.026316</v>
      </c>
      <c r="S88" s="3">
        <f>0+IF(OTDS!$B$20,VLOOKUP($B88,OTDS_AMS_DM_Spending,'OTDS Tab Calculations'!S$80-2003,FALSE),0)+IF(OTDS!$G$20,VLOOKUP($B88,OTDS_BlueBox_Spending,'OTDS Tab Calculations'!S$80-2003,FALSE),0)+IF(OTDS!$J$20,VLOOKUP($B88,OTDS_Article62_Spending,'OTDS Tab Calculations'!S$80-2003,FALSE),0)</f>
        <v>14268535219.477104</v>
      </c>
      <c r="T88" s="3">
        <f>0+IF(OTDS!$B$20,VLOOKUP($B88,OTDS_AMS_DM_Spending,'OTDS Tab Calculations'!T$80-2003,FALSE),0)+IF(OTDS!$G$20,VLOOKUP($B88,OTDS_BlueBox_Spending,'OTDS Tab Calculations'!T$80-2003,FALSE),0)+IF(OTDS!$J$20,VLOOKUP($B88,OTDS_Article62_Spending,'OTDS Tab Calculations'!T$80-2003,FALSE),0)</f>
        <v>14696591276.061417</v>
      </c>
      <c r="U88" s="3">
        <f>0+IF(OTDS!$B$20,VLOOKUP($B88,OTDS_AMS_DM_Spending,'OTDS Tab Calculations'!U$80-2003,FALSE),0)+IF(OTDS!$G$20,VLOOKUP($B88,OTDS_BlueBox_Spending,'OTDS Tab Calculations'!U$80-2003,FALSE),0)+IF(OTDS!$J$20,VLOOKUP($B88,OTDS_Article62_Spending,'OTDS Tab Calculations'!U$80-2003,FALSE),0)</f>
        <v>15137489014.34326</v>
      </c>
      <c r="V88" s="3">
        <f>0+IF(OTDS!$B$20,VLOOKUP($B88,OTDS_AMS_DM_Spending,'OTDS Tab Calculations'!V$80-2003,FALSE),0)+IF(OTDS!$G$20,VLOOKUP($B88,OTDS_BlueBox_Spending,'OTDS Tab Calculations'!V$80-2003,FALSE),0)+IF(OTDS!$J$20,VLOOKUP($B88,OTDS_Article62_Spending,'OTDS Tab Calculations'!V$80-2003,FALSE),0)</f>
        <v>15591613684.773558</v>
      </c>
      <c r="W88" s="3">
        <f>0+IF(OTDS!$B$20,VLOOKUP($B88,OTDS_AMS_DM_Spending,'OTDS Tab Calculations'!W$80-2003,FALSE),0)+IF(OTDS!$G$20,VLOOKUP($B88,OTDS_BlueBox_Spending,'OTDS Tab Calculations'!W$80-2003,FALSE),0)+IF(OTDS!$J$20,VLOOKUP($B88,OTDS_Article62_Spending,'OTDS Tab Calculations'!W$80-2003,FALSE),0)</f>
        <v>16059362095.316765</v>
      </c>
      <c r="X88" s="3">
        <f>0+IF(OTDS!$B$20,VLOOKUP($B88,OTDS_AMS_DM_Spending,'OTDS Tab Calculations'!X$80-2003,FALSE),0)+IF(OTDS!$G$20,VLOOKUP($B88,OTDS_BlueBox_Spending,'OTDS Tab Calculations'!X$80-2003,FALSE),0)+IF(OTDS!$J$20,VLOOKUP($B88,OTDS_Article62_Spending,'OTDS Tab Calculations'!X$80-2003,FALSE),0)</f>
        <v>16541142958.176266</v>
      </c>
      <c r="Y88" s="3">
        <f>0+IF(OTDS!$B$20,VLOOKUP($B88,OTDS_AMS_DM_Spending,'OTDS Tab Calculations'!Y$80-2003,FALSE),0)+IF(OTDS!$G$20,VLOOKUP($B88,OTDS_BlueBox_Spending,'OTDS Tab Calculations'!Y$80-2003,FALSE),0)+IF(OTDS!$J$20,VLOOKUP($B88,OTDS_Article62_Spending,'OTDS Tab Calculations'!Y$80-2003,FALSE),0)</f>
        <v>17037377246.921555</v>
      </c>
      <c r="Z88" s="3">
        <f>0+IF(OTDS!$B$20,VLOOKUP($B88,OTDS_AMS_DM_Spending,'OTDS Tab Calculations'!Z$80-2003,FALSE),0)+IF(OTDS!$G$20,VLOOKUP($B88,OTDS_BlueBox_Spending,'OTDS Tab Calculations'!Z$80-2003,FALSE),0)+IF(OTDS!$J$20,VLOOKUP($B88,OTDS_Article62_Spending,'OTDS Tab Calculations'!Z$80-2003,FALSE),0)</f>
        <v>17548498564.329201</v>
      </c>
      <c r="AA88" s="3">
        <f>0+IF(OTDS!$B$20,VLOOKUP($B88,OTDS_AMS_DM_Spending,'OTDS Tab Calculations'!AA$80-2003,FALSE),0)+IF(OTDS!$G$20,VLOOKUP($B88,OTDS_BlueBox_Spending,'OTDS Tab Calculations'!AA$80-2003,FALSE),0)+IF(OTDS!$J$20,VLOOKUP($B88,OTDS_Article62_Spending,'OTDS Tab Calculations'!AA$80-2003,FALSE),0)</f>
        <v>18074953521.259075</v>
      </c>
    </row>
    <row r="89" spans="1:27" x14ac:dyDescent="0.25">
      <c r="A89" s="168" t="b">
        <f t="shared" si="42"/>
        <v>1</v>
      </c>
      <c r="B89" s="168" t="str">
        <f t="shared" si="43"/>
        <v>United States of America</v>
      </c>
      <c r="C89" s="3">
        <f>0+IF(OTDS!$B$20,VLOOKUP($B89,OTDS_AMS_DM_Spending,'OTDS Tab Calculations'!C$80-2003,FALSE),0)+IF(OTDS!$G$20,VLOOKUP($B89,OTDS_BlueBox_Spending,'OTDS Tab Calculations'!C$80-2003,FALSE),0)+IF(OTDS!$J$20,VLOOKUP($B89,OTDS_Article62_Spending,'OTDS Tab Calculations'!C$80-2003,FALSE),0)</f>
        <v>11343212000</v>
      </c>
      <c r="D89" s="3">
        <f>0+IF(OTDS!$B$20,VLOOKUP($B89,OTDS_AMS_DM_Spending,'OTDS Tab Calculations'!D$80-2003,FALSE),0)+IF(OTDS!$G$20,VLOOKUP($B89,OTDS_BlueBox_Spending,'OTDS Tab Calculations'!D$80-2003,FALSE),0)+IF(OTDS!$J$20,VLOOKUP($B89,OTDS_Article62_Spending,'OTDS Tab Calculations'!D$80-2003,FALSE),0)</f>
        <v>8519584000</v>
      </c>
      <c r="E89" s="3">
        <f>0+IF(OTDS!$B$20,VLOOKUP($B89,OTDS_AMS_DM_Spending,'OTDS Tab Calculations'!E$80-2003,FALSE),0)+IF(OTDS!$G$20,VLOOKUP($B89,OTDS_BlueBox_Spending,'OTDS Tab Calculations'!E$80-2003,FALSE),0)+IF(OTDS!$J$20,VLOOKUP($B89,OTDS_Article62_Spending,'OTDS Tab Calculations'!E$80-2003,FALSE),0)</f>
        <v>15636405000</v>
      </c>
      <c r="F89" s="3">
        <f>0+IF(OTDS!$B$20,VLOOKUP($B89,OTDS_AMS_DM_Spending,'OTDS Tab Calculations'!F$80-2003,FALSE),0)+IF(OTDS!$G$20,VLOOKUP($B89,OTDS_BlueBox_Spending,'OTDS Tab Calculations'!F$80-2003,FALSE),0)+IF(OTDS!$J$20,VLOOKUP($B89,OTDS_Article62_Spending,'OTDS Tab Calculations'!F$80-2003,FALSE),0)</f>
        <v>12123814000</v>
      </c>
      <c r="G89" s="3">
        <f>0+IF(OTDS!$B$20,VLOOKUP($B89,OTDS_AMS_DM_Spending,'OTDS Tab Calculations'!G$80-2003,FALSE),0)+IF(OTDS!$G$20,VLOOKUP($B89,OTDS_BlueBox_Spending,'OTDS Tab Calculations'!G$80-2003,FALSE),0)+IF(OTDS!$J$20,VLOOKUP($B89,OTDS_Article62_Spending,'OTDS Tab Calculations'!G$80-2003,FALSE),0)</f>
        <v>9784248000</v>
      </c>
      <c r="H89" s="3">
        <f>0+IF(OTDS!$B$20,VLOOKUP($B89,OTDS_AMS_DM_Spending,'OTDS Tab Calculations'!H$80-2003,FALSE),0)+IF(OTDS!$G$20,VLOOKUP($B89,OTDS_BlueBox_Spending,'OTDS Tab Calculations'!H$80-2003,FALSE),0)+IF(OTDS!$J$20,VLOOKUP($B89,OTDS_Article62_Spending,'OTDS Tab Calculations'!H$80-2003,FALSE),0)</f>
        <v>14368353000</v>
      </c>
      <c r="I89" s="3">
        <f>0+IF(OTDS!$B$20,VLOOKUP($B89,OTDS_AMS_DM_Spending,'OTDS Tab Calculations'!I$80-2003,FALSE),0)+IF(OTDS!$G$20,VLOOKUP($B89,OTDS_BlueBox_Spending,'OTDS Tab Calculations'!I$80-2003,FALSE),0)+IF(OTDS!$J$20,VLOOKUP($B89,OTDS_Article62_Spending,'OTDS Tab Calculations'!I$80-2003,FALSE),0)</f>
        <v>12135103000</v>
      </c>
      <c r="J89" s="3">
        <f>0+IF(OTDS!$B$20,VLOOKUP($B89,OTDS_AMS_DM_Spending,'OTDS Tab Calculations'!J$80-2003,FALSE),0)+IF(OTDS!$G$20,VLOOKUP($B89,OTDS_BlueBox_Spending,'OTDS Tab Calculations'!J$80-2003,FALSE),0)+IF(OTDS!$J$20,VLOOKUP($B89,OTDS_Article62_Spending,'OTDS Tab Calculations'!J$80-2003,FALSE),0)</f>
        <v>12499156090</v>
      </c>
      <c r="K89" s="3">
        <f>0+IF(OTDS!$B$20,VLOOKUP($B89,OTDS_AMS_DM_Spending,'OTDS Tab Calculations'!K$80-2003,FALSE),0)+IF(OTDS!$G$20,VLOOKUP($B89,OTDS_BlueBox_Spending,'OTDS Tab Calculations'!K$80-2003,FALSE),0)+IF(OTDS!$J$20,VLOOKUP($B89,OTDS_Article62_Spending,'OTDS Tab Calculations'!K$80-2003,FALSE),0)</f>
        <v>12874130772.700001</v>
      </c>
      <c r="L89" s="3">
        <f>0+IF(OTDS!$B$20,VLOOKUP($B89,OTDS_AMS_DM_Spending,'OTDS Tab Calculations'!L$80-2003,FALSE),0)+IF(OTDS!$G$20,VLOOKUP($B89,OTDS_BlueBox_Spending,'OTDS Tab Calculations'!L$80-2003,FALSE),0)+IF(OTDS!$J$20,VLOOKUP($B89,OTDS_Article62_Spending,'OTDS Tab Calculations'!L$80-2003,FALSE),0)</f>
        <v>13260354695.881001</v>
      </c>
      <c r="M89" s="3">
        <f>0+IF(OTDS!$B$20,VLOOKUP($B89,OTDS_AMS_DM_Spending,'OTDS Tab Calculations'!M$80-2003,FALSE),0)+IF(OTDS!$G$20,VLOOKUP($B89,OTDS_BlueBox_Spending,'OTDS Tab Calculations'!M$80-2003,FALSE),0)+IF(OTDS!$J$20,VLOOKUP($B89,OTDS_Article62_Spending,'OTDS Tab Calculations'!M$80-2003,FALSE),0)</f>
        <v>13658165336.757431</v>
      </c>
      <c r="N89" s="3">
        <f>0+IF(OTDS!$B$20,VLOOKUP($B89,OTDS_AMS_DM_Spending,'OTDS Tab Calculations'!N$80-2003,FALSE),0)+IF(OTDS!$G$20,VLOOKUP($B89,OTDS_BlueBox_Spending,'OTDS Tab Calculations'!N$80-2003,FALSE),0)+IF(OTDS!$J$20,VLOOKUP($B89,OTDS_Article62_Spending,'OTDS Tab Calculations'!N$80-2003,FALSE),0)</f>
        <v>14067910296.860153</v>
      </c>
      <c r="O89" s="3">
        <f>0+IF(OTDS!$B$20,VLOOKUP($B89,OTDS_AMS_DM_Spending,'OTDS Tab Calculations'!O$80-2003,FALSE),0)+IF(OTDS!$G$20,VLOOKUP($B89,OTDS_BlueBox_Spending,'OTDS Tab Calculations'!O$80-2003,FALSE),0)+IF(OTDS!$J$20,VLOOKUP($B89,OTDS_Article62_Spending,'OTDS Tab Calculations'!O$80-2003,FALSE),0)</f>
        <v>14489947605.765957</v>
      </c>
      <c r="P89" s="3">
        <f>0+IF(OTDS!$B$20,VLOOKUP($B89,OTDS_AMS_DM_Spending,'OTDS Tab Calculations'!P$80-2003,FALSE),0)+IF(OTDS!$G$20,VLOOKUP($B89,OTDS_BlueBox_Spending,'OTDS Tab Calculations'!P$80-2003,FALSE),0)+IF(OTDS!$J$20,VLOOKUP($B89,OTDS_Article62_Spending,'OTDS Tab Calculations'!P$80-2003,FALSE),0)</f>
        <v>14924646033.938936</v>
      </c>
      <c r="Q89" s="3">
        <f>0+IF(OTDS!$B$20,VLOOKUP($B89,OTDS_AMS_DM_Spending,'OTDS Tab Calculations'!Q$80-2003,FALSE),0)+IF(OTDS!$G$20,VLOOKUP($B89,OTDS_BlueBox_Spending,'OTDS Tab Calculations'!Q$80-2003,FALSE),0)+IF(OTDS!$J$20,VLOOKUP($B89,OTDS_Article62_Spending,'OTDS Tab Calculations'!Q$80-2003,FALSE),0)</f>
        <v>15372385414.957104</v>
      </c>
      <c r="R89" s="3">
        <f>0+IF(OTDS!$B$20,VLOOKUP($B89,OTDS_AMS_DM_Spending,'OTDS Tab Calculations'!R$80-2003,FALSE),0)+IF(OTDS!$G$20,VLOOKUP($B89,OTDS_BlueBox_Spending,'OTDS Tab Calculations'!R$80-2003,FALSE),0)+IF(OTDS!$J$20,VLOOKUP($B89,OTDS_Article62_Spending,'OTDS Tab Calculations'!R$80-2003,FALSE),0)</f>
        <v>15833556977.405817</v>
      </c>
      <c r="S89" s="3">
        <f>0+IF(OTDS!$B$20,VLOOKUP($B89,OTDS_AMS_DM_Spending,'OTDS Tab Calculations'!S$80-2003,FALSE),0)+IF(OTDS!$G$20,VLOOKUP($B89,OTDS_BlueBox_Spending,'OTDS Tab Calculations'!S$80-2003,FALSE),0)+IF(OTDS!$J$20,VLOOKUP($B89,OTDS_Article62_Spending,'OTDS Tab Calculations'!S$80-2003,FALSE),0)</f>
        <v>16308563686.727991</v>
      </c>
      <c r="T89" s="3">
        <f>0+IF(OTDS!$B$20,VLOOKUP($B89,OTDS_AMS_DM_Spending,'OTDS Tab Calculations'!T$80-2003,FALSE),0)+IF(OTDS!$G$20,VLOOKUP($B89,OTDS_BlueBox_Spending,'OTDS Tab Calculations'!T$80-2003,FALSE),0)+IF(OTDS!$J$20,VLOOKUP($B89,OTDS_Article62_Spending,'OTDS Tab Calculations'!T$80-2003,FALSE),0)</f>
        <v>16797820597.32983</v>
      </c>
      <c r="U89" s="3">
        <f>0+IF(OTDS!$B$20,VLOOKUP($B89,OTDS_AMS_DM_Spending,'OTDS Tab Calculations'!U$80-2003,FALSE),0)+IF(OTDS!$G$20,VLOOKUP($B89,OTDS_BlueBox_Spending,'OTDS Tab Calculations'!U$80-2003,FALSE),0)+IF(OTDS!$J$20,VLOOKUP($B89,OTDS_Article62_Spending,'OTDS Tab Calculations'!U$80-2003,FALSE),0)</f>
        <v>17301755215.249725</v>
      </c>
      <c r="V89" s="3">
        <f>0+IF(OTDS!$B$20,VLOOKUP($B89,OTDS_AMS_DM_Spending,'OTDS Tab Calculations'!V$80-2003,FALSE),0)+IF(OTDS!$G$20,VLOOKUP($B89,OTDS_BlueBox_Spending,'OTDS Tab Calculations'!V$80-2003,FALSE),0)+IF(OTDS!$J$20,VLOOKUP($B89,OTDS_Article62_Spending,'OTDS Tab Calculations'!V$80-2003,FALSE),0)</f>
        <v>17820807871.707218</v>
      </c>
      <c r="W89" s="3">
        <f>0+IF(OTDS!$B$20,VLOOKUP($B89,OTDS_AMS_DM_Spending,'OTDS Tab Calculations'!W$80-2003,FALSE),0)+IF(OTDS!$G$20,VLOOKUP($B89,OTDS_BlueBox_Spending,'OTDS Tab Calculations'!W$80-2003,FALSE),0)+IF(OTDS!$J$20,VLOOKUP($B89,OTDS_Article62_Spending,'OTDS Tab Calculations'!W$80-2003,FALSE),0)</f>
        <v>18355432107.858437</v>
      </c>
      <c r="X89" s="3">
        <f>0+IF(OTDS!$B$20,VLOOKUP($B89,OTDS_AMS_DM_Spending,'OTDS Tab Calculations'!X$80-2003,FALSE),0)+IF(OTDS!$G$20,VLOOKUP($B89,OTDS_BlueBox_Spending,'OTDS Tab Calculations'!X$80-2003,FALSE),0)+IF(OTDS!$J$20,VLOOKUP($B89,OTDS_Article62_Spending,'OTDS Tab Calculations'!X$80-2003,FALSE),0)</f>
        <v>18906095071.094189</v>
      </c>
      <c r="Y89" s="3">
        <f>0+IF(OTDS!$B$20,VLOOKUP($B89,OTDS_AMS_DM_Spending,'OTDS Tab Calculations'!Y$80-2003,FALSE),0)+IF(OTDS!$G$20,VLOOKUP($B89,OTDS_BlueBox_Spending,'OTDS Tab Calculations'!Y$80-2003,FALSE),0)+IF(OTDS!$J$20,VLOOKUP($B89,OTDS_Article62_Spending,'OTDS Tab Calculations'!Y$80-2003,FALSE),0)</f>
        <v>19473277923.227013</v>
      </c>
      <c r="Z89" s="3">
        <f>0+IF(OTDS!$B$20,VLOOKUP($B89,OTDS_AMS_DM_Spending,'OTDS Tab Calculations'!Z$80-2003,FALSE),0)+IF(OTDS!$G$20,VLOOKUP($B89,OTDS_BlueBox_Spending,'OTDS Tab Calculations'!Z$80-2003,FALSE),0)+IF(OTDS!$J$20,VLOOKUP($B89,OTDS_Article62_Spending,'OTDS Tab Calculations'!Z$80-2003,FALSE),0)</f>
        <v>20057476260.923824</v>
      </c>
      <c r="AA89" s="3">
        <f>0+IF(OTDS!$B$20,VLOOKUP($B89,OTDS_AMS_DM_Spending,'OTDS Tab Calculations'!AA$80-2003,FALSE),0)+IF(OTDS!$G$20,VLOOKUP($B89,OTDS_BlueBox_Spending,'OTDS Tab Calculations'!AA$80-2003,FALSE),0)+IF(OTDS!$J$20,VLOOKUP($B89,OTDS_Article62_Spending,'OTDS Tab Calculations'!AA$80-2003,FALSE),0)</f>
        <v>20659200548.751537</v>
      </c>
    </row>
    <row r="90" spans="1:27" x14ac:dyDescent="0.25">
      <c r="A90" s="168" t="b">
        <f t="shared" si="42"/>
        <v>1</v>
      </c>
      <c r="B90" s="168" t="str">
        <f t="shared" si="43"/>
        <v>CUSTOM</v>
      </c>
      <c r="C90" s="3" t="e">
        <f>0+IF(OTDS!$B$20,VLOOKUP($B90,OTDS_AMS_DM_Spending,'OTDS Tab Calculations'!C$80-2003,FALSE),0)+IF(OTDS!$G$20,VLOOKUP($B90,OTDS_BlueBox_Spending,'OTDS Tab Calculations'!C$80-2003,FALSE),0)+IF(OTDS!$J$20,VLOOKUP($B90,OTDS_Article62_Spending,'OTDS Tab Calculations'!C$80-2003,FALSE),0)</f>
        <v>#N/A</v>
      </c>
      <c r="D90" s="3" t="e">
        <f>0+IF(OTDS!$B$20,VLOOKUP($B90,OTDS_AMS_DM_Spending,'OTDS Tab Calculations'!D$80-2003,FALSE),0)+IF(OTDS!$G$20,VLOOKUP($B90,OTDS_BlueBox_Spending,'OTDS Tab Calculations'!D$80-2003,FALSE),0)+IF(OTDS!$J$20,VLOOKUP($B90,OTDS_Article62_Spending,'OTDS Tab Calculations'!D$80-2003,FALSE),0)</f>
        <v>#N/A</v>
      </c>
      <c r="E90" s="3" t="e">
        <f>0+IF(OTDS!$B$20,VLOOKUP($B90,OTDS_AMS_DM_Spending,'OTDS Tab Calculations'!E$80-2003,FALSE),0)+IF(OTDS!$G$20,VLOOKUP($B90,OTDS_BlueBox_Spending,'OTDS Tab Calculations'!E$80-2003,FALSE),0)+IF(OTDS!$J$20,VLOOKUP($B90,OTDS_Article62_Spending,'OTDS Tab Calculations'!E$80-2003,FALSE),0)</f>
        <v>#N/A</v>
      </c>
      <c r="F90" s="3" t="e">
        <f>0+IF(OTDS!$B$20,VLOOKUP($B90,OTDS_AMS_DM_Spending,'OTDS Tab Calculations'!F$80-2003,FALSE),0)+IF(OTDS!$G$20,VLOOKUP($B90,OTDS_BlueBox_Spending,'OTDS Tab Calculations'!F$80-2003,FALSE),0)+IF(OTDS!$J$20,VLOOKUP($B90,OTDS_Article62_Spending,'OTDS Tab Calculations'!F$80-2003,FALSE),0)</f>
        <v>#N/A</v>
      </c>
      <c r="G90" s="3" t="e">
        <f>0+IF(OTDS!$B$20,VLOOKUP($B90,OTDS_AMS_DM_Spending,'OTDS Tab Calculations'!G$80-2003,FALSE),0)+IF(OTDS!$G$20,VLOOKUP($B90,OTDS_BlueBox_Spending,'OTDS Tab Calculations'!G$80-2003,FALSE),0)+IF(OTDS!$J$20,VLOOKUP($B90,OTDS_Article62_Spending,'OTDS Tab Calculations'!G$80-2003,FALSE),0)</f>
        <v>#N/A</v>
      </c>
      <c r="H90" s="3" t="e">
        <f>0+IF(OTDS!$B$20,VLOOKUP($B90,OTDS_AMS_DM_Spending,'OTDS Tab Calculations'!H$80-2003,FALSE),0)+IF(OTDS!$G$20,VLOOKUP($B90,OTDS_BlueBox_Spending,'OTDS Tab Calculations'!H$80-2003,FALSE),0)+IF(OTDS!$J$20,VLOOKUP($B90,OTDS_Article62_Spending,'OTDS Tab Calculations'!H$80-2003,FALSE),0)</f>
        <v>#N/A</v>
      </c>
      <c r="I90" s="3" t="e">
        <f>0+IF(OTDS!$B$20,VLOOKUP($B90,OTDS_AMS_DM_Spending,'OTDS Tab Calculations'!I$80-2003,FALSE),0)+IF(OTDS!$G$20,VLOOKUP($B90,OTDS_BlueBox_Spending,'OTDS Tab Calculations'!I$80-2003,FALSE),0)+IF(OTDS!$J$20,VLOOKUP($B90,OTDS_Article62_Spending,'OTDS Tab Calculations'!I$80-2003,FALSE),0)</f>
        <v>#N/A</v>
      </c>
      <c r="J90" s="3" t="e">
        <f>0+IF(OTDS!$B$20,VLOOKUP($B90,OTDS_AMS_DM_Spending,'OTDS Tab Calculations'!J$80-2003,FALSE),0)+IF(OTDS!$G$20,VLOOKUP($B90,OTDS_BlueBox_Spending,'OTDS Tab Calculations'!J$80-2003,FALSE),0)+IF(OTDS!$J$20,VLOOKUP($B90,OTDS_Article62_Spending,'OTDS Tab Calculations'!J$80-2003,FALSE),0)</f>
        <v>#N/A</v>
      </c>
      <c r="K90" s="3" t="e">
        <f>0+IF(OTDS!$B$20,VLOOKUP($B90,OTDS_AMS_DM_Spending,'OTDS Tab Calculations'!K$80-2003,FALSE),0)+IF(OTDS!$G$20,VLOOKUP($B90,OTDS_BlueBox_Spending,'OTDS Tab Calculations'!K$80-2003,FALSE),0)+IF(OTDS!$J$20,VLOOKUP($B90,OTDS_Article62_Spending,'OTDS Tab Calculations'!K$80-2003,FALSE),0)</f>
        <v>#N/A</v>
      </c>
      <c r="L90" s="3" t="e">
        <f>0+IF(OTDS!$B$20,VLOOKUP($B90,OTDS_AMS_DM_Spending,'OTDS Tab Calculations'!L$80-2003,FALSE),0)+IF(OTDS!$G$20,VLOOKUP($B90,OTDS_BlueBox_Spending,'OTDS Tab Calculations'!L$80-2003,FALSE),0)+IF(OTDS!$J$20,VLOOKUP($B90,OTDS_Article62_Spending,'OTDS Tab Calculations'!L$80-2003,FALSE),0)</f>
        <v>#N/A</v>
      </c>
      <c r="M90" s="3" t="e">
        <f>0+IF(OTDS!$B$20,VLOOKUP($B90,OTDS_AMS_DM_Spending,'OTDS Tab Calculations'!M$80-2003,FALSE),0)+IF(OTDS!$G$20,VLOOKUP($B90,OTDS_BlueBox_Spending,'OTDS Tab Calculations'!M$80-2003,FALSE),0)+IF(OTDS!$J$20,VLOOKUP($B90,OTDS_Article62_Spending,'OTDS Tab Calculations'!M$80-2003,FALSE),0)</f>
        <v>#N/A</v>
      </c>
      <c r="N90" s="3" t="e">
        <f>0+IF(OTDS!$B$20,VLOOKUP($B90,OTDS_AMS_DM_Spending,'OTDS Tab Calculations'!N$80-2003,FALSE),0)+IF(OTDS!$G$20,VLOOKUP($B90,OTDS_BlueBox_Spending,'OTDS Tab Calculations'!N$80-2003,FALSE),0)+IF(OTDS!$J$20,VLOOKUP($B90,OTDS_Article62_Spending,'OTDS Tab Calculations'!N$80-2003,FALSE),0)</f>
        <v>#N/A</v>
      </c>
      <c r="O90" s="3" t="e">
        <f>0+IF(OTDS!$B$20,VLOOKUP($B90,OTDS_AMS_DM_Spending,'OTDS Tab Calculations'!O$80-2003,FALSE),0)+IF(OTDS!$G$20,VLOOKUP($B90,OTDS_BlueBox_Spending,'OTDS Tab Calculations'!O$80-2003,FALSE),0)+IF(OTDS!$J$20,VLOOKUP($B90,OTDS_Article62_Spending,'OTDS Tab Calculations'!O$80-2003,FALSE),0)</f>
        <v>#N/A</v>
      </c>
      <c r="P90" s="3" t="e">
        <f>0+IF(OTDS!$B$20,VLOOKUP($B90,OTDS_AMS_DM_Spending,'OTDS Tab Calculations'!P$80-2003,FALSE),0)+IF(OTDS!$G$20,VLOOKUP($B90,OTDS_BlueBox_Spending,'OTDS Tab Calculations'!P$80-2003,FALSE),0)+IF(OTDS!$J$20,VLOOKUP($B90,OTDS_Article62_Spending,'OTDS Tab Calculations'!P$80-2003,FALSE),0)</f>
        <v>#N/A</v>
      </c>
      <c r="Q90" s="3" t="e">
        <f>0+IF(OTDS!$B$20,VLOOKUP($B90,OTDS_AMS_DM_Spending,'OTDS Tab Calculations'!Q$80-2003,FALSE),0)+IF(OTDS!$G$20,VLOOKUP($B90,OTDS_BlueBox_Spending,'OTDS Tab Calculations'!Q$80-2003,FALSE),0)+IF(OTDS!$J$20,VLOOKUP($B90,OTDS_Article62_Spending,'OTDS Tab Calculations'!Q$80-2003,FALSE),0)</f>
        <v>#N/A</v>
      </c>
      <c r="R90" s="3" t="e">
        <f>0+IF(OTDS!$B$20,VLOOKUP($B90,OTDS_AMS_DM_Spending,'OTDS Tab Calculations'!R$80-2003,FALSE),0)+IF(OTDS!$G$20,VLOOKUP($B90,OTDS_BlueBox_Spending,'OTDS Tab Calculations'!R$80-2003,FALSE),0)+IF(OTDS!$J$20,VLOOKUP($B90,OTDS_Article62_Spending,'OTDS Tab Calculations'!R$80-2003,FALSE),0)</f>
        <v>#N/A</v>
      </c>
      <c r="S90" s="3" t="e">
        <f>0+IF(OTDS!$B$20,VLOOKUP($B90,OTDS_AMS_DM_Spending,'OTDS Tab Calculations'!S$80-2003,FALSE),0)+IF(OTDS!$G$20,VLOOKUP($B90,OTDS_BlueBox_Spending,'OTDS Tab Calculations'!S$80-2003,FALSE),0)+IF(OTDS!$J$20,VLOOKUP($B90,OTDS_Article62_Spending,'OTDS Tab Calculations'!S$80-2003,FALSE),0)</f>
        <v>#N/A</v>
      </c>
      <c r="T90" s="3" t="e">
        <f>0+IF(OTDS!$B$20,VLOOKUP($B90,OTDS_AMS_DM_Spending,'OTDS Tab Calculations'!T$80-2003,FALSE),0)+IF(OTDS!$G$20,VLOOKUP($B90,OTDS_BlueBox_Spending,'OTDS Tab Calculations'!T$80-2003,FALSE),0)+IF(OTDS!$J$20,VLOOKUP($B90,OTDS_Article62_Spending,'OTDS Tab Calculations'!T$80-2003,FALSE),0)</f>
        <v>#N/A</v>
      </c>
      <c r="U90" s="3" t="e">
        <f>0+IF(OTDS!$B$20,VLOOKUP($B90,OTDS_AMS_DM_Spending,'OTDS Tab Calculations'!U$80-2003,FALSE),0)+IF(OTDS!$G$20,VLOOKUP($B90,OTDS_BlueBox_Spending,'OTDS Tab Calculations'!U$80-2003,FALSE),0)+IF(OTDS!$J$20,VLOOKUP($B90,OTDS_Article62_Spending,'OTDS Tab Calculations'!U$80-2003,FALSE),0)</f>
        <v>#N/A</v>
      </c>
      <c r="V90" s="3" t="e">
        <f>0+IF(OTDS!$B$20,VLOOKUP($B90,OTDS_AMS_DM_Spending,'OTDS Tab Calculations'!V$80-2003,FALSE),0)+IF(OTDS!$G$20,VLOOKUP($B90,OTDS_BlueBox_Spending,'OTDS Tab Calculations'!V$80-2003,FALSE),0)+IF(OTDS!$J$20,VLOOKUP($B90,OTDS_Article62_Spending,'OTDS Tab Calculations'!V$80-2003,FALSE),0)</f>
        <v>#N/A</v>
      </c>
      <c r="W90" s="3" t="e">
        <f>0+IF(OTDS!$B$20,VLOOKUP($B90,OTDS_AMS_DM_Spending,'OTDS Tab Calculations'!W$80-2003,FALSE),0)+IF(OTDS!$G$20,VLOOKUP($B90,OTDS_BlueBox_Spending,'OTDS Tab Calculations'!W$80-2003,FALSE),0)+IF(OTDS!$J$20,VLOOKUP($B90,OTDS_Article62_Spending,'OTDS Tab Calculations'!W$80-2003,FALSE),0)</f>
        <v>#N/A</v>
      </c>
      <c r="X90" s="3" t="e">
        <f>0+IF(OTDS!$B$20,VLOOKUP($B90,OTDS_AMS_DM_Spending,'OTDS Tab Calculations'!X$80-2003,FALSE),0)+IF(OTDS!$G$20,VLOOKUP($B90,OTDS_BlueBox_Spending,'OTDS Tab Calculations'!X$80-2003,FALSE),0)+IF(OTDS!$J$20,VLOOKUP($B90,OTDS_Article62_Spending,'OTDS Tab Calculations'!X$80-2003,FALSE),0)</f>
        <v>#N/A</v>
      </c>
      <c r="Y90" s="3" t="e">
        <f>0+IF(OTDS!$B$20,VLOOKUP($B90,OTDS_AMS_DM_Spending,'OTDS Tab Calculations'!Y$80-2003,FALSE),0)+IF(OTDS!$G$20,VLOOKUP($B90,OTDS_BlueBox_Spending,'OTDS Tab Calculations'!Y$80-2003,FALSE),0)+IF(OTDS!$J$20,VLOOKUP($B90,OTDS_Article62_Spending,'OTDS Tab Calculations'!Y$80-2003,FALSE),0)</f>
        <v>#N/A</v>
      </c>
      <c r="Z90" s="3" t="e">
        <f>0+IF(OTDS!$B$20,VLOOKUP($B90,OTDS_AMS_DM_Spending,'OTDS Tab Calculations'!Z$80-2003,FALSE),0)+IF(OTDS!$G$20,VLOOKUP($B90,OTDS_BlueBox_Spending,'OTDS Tab Calculations'!Z$80-2003,FALSE),0)+IF(OTDS!$J$20,VLOOKUP($B90,OTDS_Article62_Spending,'OTDS Tab Calculations'!Z$80-2003,FALSE),0)</f>
        <v>#N/A</v>
      </c>
      <c r="AA90" s="3" t="e">
        <f>0+IF(OTDS!$B$20,VLOOKUP($B90,OTDS_AMS_DM_Spending,'OTDS Tab Calculations'!AA$80-2003,FALSE),0)+IF(OTDS!$G$20,VLOOKUP($B90,OTDS_BlueBox_Spending,'OTDS Tab Calculations'!AA$80-2003,FALSE),0)+IF(OTDS!$J$20,VLOOKUP($B90,OTDS_Article62_Spending,'OTDS Tab Calculations'!AA$80-2003,FALSE),0)</f>
        <v>#N/A</v>
      </c>
    </row>
    <row r="92" spans="1:27" x14ac:dyDescent="0.25">
      <c r="A92" s="203" t="s">
        <v>461</v>
      </c>
      <c r="B92" s="203"/>
      <c r="C92" s="203"/>
    </row>
    <row r="93" spans="1:27" x14ac:dyDescent="0.25">
      <c r="B93" s="168" t="s">
        <v>1</v>
      </c>
      <c r="C93" s="3">
        <f t="shared" ref="C93:AA93" si="44">VLOOKUP($B93,VoP_OTDS,C$80-2003,FALSE)*$C3+VLOOKUP($B93,VoP_OTDS,C$80-2003,FALSE)*$C16+$C42</f>
        <v>2639596400.1312532</v>
      </c>
      <c r="D93" s="3">
        <f t="shared" si="44"/>
        <v>3247875400.1312532</v>
      </c>
      <c r="E93" s="3">
        <f t="shared" si="44"/>
        <v>3913574400.1312532</v>
      </c>
      <c r="F93" s="3">
        <f t="shared" si="44"/>
        <v>3419759400.1312532</v>
      </c>
      <c r="G93" s="3">
        <f t="shared" si="44"/>
        <v>3616436400.1312532</v>
      </c>
      <c r="H93" s="3">
        <f t="shared" si="44"/>
        <v>4585201400.1312532</v>
      </c>
      <c r="I93" s="3">
        <f t="shared" si="44"/>
        <v>4710807400.1312532</v>
      </c>
      <c r="J93" s="3">
        <f t="shared" si="44"/>
        <v>4550855400.1312532</v>
      </c>
      <c r="K93" s="3">
        <f t="shared" si="44"/>
        <v>4673937690.1312532</v>
      </c>
      <c r="L93" s="3">
        <f t="shared" si="44"/>
        <v>4800712448.8312531</v>
      </c>
      <c r="M93" s="3">
        <f t="shared" si="44"/>
        <v>4931290450.2922535</v>
      </c>
      <c r="N93" s="3">
        <f t="shared" si="44"/>
        <v>5065785791.7970839</v>
      </c>
      <c r="O93" s="3">
        <f t="shared" si="44"/>
        <v>5204315993.5470581</v>
      </c>
      <c r="P93" s="3">
        <f t="shared" si="44"/>
        <v>5347002101.3495331</v>
      </c>
      <c r="Q93" s="3">
        <f t="shared" si="44"/>
        <v>5493968792.3860817</v>
      </c>
      <c r="R93" s="3">
        <f t="shared" si="44"/>
        <v>5645344484.1537256</v>
      </c>
      <c r="S93" s="3">
        <f t="shared" si="44"/>
        <v>5801261446.6744003</v>
      </c>
      <c r="T93" s="3">
        <f t="shared" si="44"/>
        <v>5961855918.0706949</v>
      </c>
      <c r="U93" s="3">
        <f t="shared" si="44"/>
        <v>6127268223.6088781</v>
      </c>
      <c r="V93" s="3">
        <f t="shared" si="44"/>
        <v>6297642898.3132067</v>
      </c>
      <c r="W93" s="3">
        <f t="shared" si="44"/>
        <v>6473128813.258666</v>
      </c>
      <c r="X93" s="3">
        <f t="shared" si="44"/>
        <v>6653879305.6524887</v>
      </c>
      <c r="Y93" s="3">
        <f t="shared" si="44"/>
        <v>6840052312.8181257</v>
      </c>
      <c r="Z93" s="3">
        <f t="shared" si="44"/>
        <v>7031810510.1987314</v>
      </c>
      <c r="AA93" s="3">
        <f t="shared" si="44"/>
        <v>7229321453.5007563</v>
      </c>
    </row>
    <row r="94" spans="1:27" x14ac:dyDescent="0.25">
      <c r="B94" s="168" t="s">
        <v>2</v>
      </c>
      <c r="C94" s="3">
        <f t="shared" ref="C94:AA94" si="45">VLOOKUP($B94,VoP_OTDS,C$80-2003,FALSE)*$C4+VLOOKUP($B94,VoP_OTDS,C$80-2003,FALSE)*$C17+$C43</f>
        <v>16341193150</v>
      </c>
      <c r="D94" s="3">
        <f t="shared" si="45"/>
        <v>22710165150</v>
      </c>
      <c r="E94" s="3">
        <f t="shared" si="45"/>
        <v>30060091150</v>
      </c>
      <c r="F94" s="3">
        <f t="shared" si="45"/>
        <v>27610459150</v>
      </c>
      <c r="G94" s="3">
        <f t="shared" si="45"/>
        <v>33421571150</v>
      </c>
      <c r="H94" s="3">
        <f t="shared" si="45"/>
        <v>42755149150</v>
      </c>
      <c r="I94" s="3">
        <f t="shared" si="45"/>
        <v>41364295150</v>
      </c>
      <c r="J94" s="3">
        <f t="shared" si="45"/>
        <v>44792417150</v>
      </c>
      <c r="K94" s="3">
        <f t="shared" si="45"/>
        <v>46108826510</v>
      </c>
      <c r="L94" s="3">
        <f t="shared" si="45"/>
        <v>47464728150.800003</v>
      </c>
      <c r="M94" s="3">
        <f t="shared" si="45"/>
        <v>48861306840.824005</v>
      </c>
      <c r="N94" s="3">
        <f t="shared" si="45"/>
        <v>50299782891.548721</v>
      </c>
      <c r="O94" s="3">
        <f t="shared" si="45"/>
        <v>51781413223.795181</v>
      </c>
      <c r="P94" s="3">
        <f t="shared" si="45"/>
        <v>53307492466.009033</v>
      </c>
      <c r="Q94" s="3">
        <f t="shared" si="45"/>
        <v>54879354085.489311</v>
      </c>
      <c r="R94" s="3">
        <f t="shared" si="45"/>
        <v>56498371553.553993</v>
      </c>
      <c r="S94" s="3">
        <f t="shared" si="45"/>
        <v>58165959545.660614</v>
      </c>
      <c r="T94" s="3">
        <f t="shared" si="45"/>
        <v>59883575177.530426</v>
      </c>
      <c r="U94" s="3">
        <f t="shared" si="45"/>
        <v>61652719278.356339</v>
      </c>
      <c r="V94" s="3">
        <f t="shared" si="45"/>
        <v>63474937702.207031</v>
      </c>
      <c r="W94" s="3">
        <f t="shared" si="45"/>
        <v>65351822678.773247</v>
      </c>
      <c r="X94" s="3">
        <f t="shared" si="45"/>
        <v>67285014204.636444</v>
      </c>
      <c r="Y94" s="3">
        <f t="shared" si="45"/>
        <v>69276201476.275543</v>
      </c>
      <c r="Z94" s="3">
        <f t="shared" si="45"/>
        <v>71327124366.063812</v>
      </c>
      <c r="AA94" s="3">
        <f t="shared" si="45"/>
        <v>73439574942.545715</v>
      </c>
    </row>
    <row r="95" spans="1:27" x14ac:dyDescent="0.25">
      <c r="B95" s="168" t="s">
        <v>3</v>
      </c>
      <c r="C95" s="3">
        <f t="shared" ref="C95:AA95" si="46">VLOOKUP($B95,VoP_OTDS,C$80-2003,FALSE)*$C5+VLOOKUP($B95,VoP_OTDS,C$80-2003,FALSE)*$C18+$C44</f>
        <v>5782343191.1017885</v>
      </c>
      <c r="D95" s="3">
        <f t="shared" si="46"/>
        <v>6260005191.1017885</v>
      </c>
      <c r="E95" s="3">
        <f t="shared" si="46"/>
        <v>7268794191.1017885</v>
      </c>
      <c r="F95" s="3">
        <f t="shared" si="46"/>
        <v>6649163191.1017885</v>
      </c>
      <c r="G95" s="3">
        <f t="shared" si="46"/>
        <v>6687609191.1017885</v>
      </c>
      <c r="H95" s="3">
        <f t="shared" si="46"/>
        <v>7326502191.1017885</v>
      </c>
      <c r="I95" s="3">
        <f t="shared" si="46"/>
        <v>7798103191.1017885</v>
      </c>
      <c r="J95" s="3">
        <f t="shared" si="46"/>
        <v>8182085191.1017885</v>
      </c>
      <c r="K95" s="3">
        <f t="shared" si="46"/>
        <v>8305422031.1017885</v>
      </c>
      <c r="L95" s="3">
        <f t="shared" si="46"/>
        <v>8432458976.3017883</v>
      </c>
      <c r="M95" s="3">
        <f t="shared" si="46"/>
        <v>8563307029.8577881</v>
      </c>
      <c r="N95" s="3">
        <f t="shared" si="46"/>
        <v>8698080525.0204697</v>
      </c>
      <c r="O95" s="3">
        <f t="shared" si="46"/>
        <v>8836897225.0380287</v>
      </c>
      <c r="P95" s="3">
        <f t="shared" si="46"/>
        <v>8979878426.0561161</v>
      </c>
      <c r="Q95" s="3">
        <f t="shared" si="46"/>
        <v>9127149063.1047459</v>
      </c>
      <c r="R95" s="3">
        <f t="shared" si="46"/>
        <v>9278837819.2648354</v>
      </c>
      <c r="S95" s="3">
        <f t="shared" si="46"/>
        <v>9435077238.109726</v>
      </c>
      <c r="T95" s="3">
        <f t="shared" si="46"/>
        <v>9596003839.5199623</v>
      </c>
      <c r="U95" s="3">
        <f t="shared" si="46"/>
        <v>9761758238.9725075</v>
      </c>
      <c r="V95" s="3">
        <f t="shared" si="46"/>
        <v>9932485270.4086304</v>
      </c>
      <c r="W95" s="3">
        <f t="shared" si="46"/>
        <v>10108334112.787834</v>
      </c>
      <c r="X95" s="3">
        <f t="shared" si="46"/>
        <v>10289458420.438416</v>
      </c>
      <c r="Y95" s="3">
        <f t="shared" si="46"/>
        <v>10476016457.318516</v>
      </c>
      <c r="Z95" s="3">
        <f t="shared" si="46"/>
        <v>10668171235.305017</v>
      </c>
      <c r="AA95" s="3">
        <f t="shared" si="46"/>
        <v>10866090656.631115</v>
      </c>
    </row>
    <row r="96" spans="1:27" x14ac:dyDescent="0.25">
      <c r="B96" s="168" t="s">
        <v>4</v>
      </c>
      <c r="C96" s="3">
        <f t="shared" ref="C96:AA96" si="47">VLOOKUP($B96,VoP_OTDS,C$80-2003,FALSE)*$C6+VLOOKUP($B96,VoP_OTDS,C$80-2003,FALSE)*$C19+$C45</f>
        <v>87233609600</v>
      </c>
      <c r="D96" s="3">
        <f t="shared" si="47"/>
        <v>104454619800</v>
      </c>
      <c r="E96" s="3">
        <f t="shared" si="47"/>
        <v>130685985300.00002</v>
      </c>
      <c r="F96" s="3">
        <f t="shared" si="47"/>
        <v>131736575100.00002</v>
      </c>
      <c r="G96" s="3">
        <f t="shared" si="47"/>
        <v>150826621400</v>
      </c>
      <c r="H96" s="3">
        <f t="shared" si="47"/>
        <v>195952575700</v>
      </c>
      <c r="I96" s="3">
        <f t="shared" si="47"/>
        <v>209051862800</v>
      </c>
      <c r="J96" s="3">
        <f t="shared" si="47"/>
        <v>218381903100.00003</v>
      </c>
      <c r="K96" s="3">
        <f t="shared" si="47"/>
        <v>224933360193.00003</v>
      </c>
      <c r="L96" s="3">
        <f t="shared" si="47"/>
        <v>231681360998.79001</v>
      </c>
      <c r="M96" s="3">
        <f t="shared" si="47"/>
        <v>238631801828.75372</v>
      </c>
      <c r="N96" s="3">
        <f t="shared" si="47"/>
        <v>245790755883.61636</v>
      </c>
      <c r="O96" s="3">
        <f t="shared" si="47"/>
        <v>253164478560.12485</v>
      </c>
      <c r="P96" s="3">
        <f t="shared" si="47"/>
        <v>260759412916.92859</v>
      </c>
      <c r="Q96" s="3">
        <f t="shared" si="47"/>
        <v>268582195304.43643</v>
      </c>
      <c r="R96" s="3">
        <f t="shared" si="47"/>
        <v>276639661163.56952</v>
      </c>
      <c r="S96" s="3">
        <f t="shared" si="47"/>
        <v>284938850998.47662</v>
      </c>
      <c r="T96" s="3">
        <f t="shared" si="47"/>
        <v>293487016528.43097</v>
      </c>
      <c r="U96" s="3">
        <f t="shared" si="47"/>
        <v>302291627024.28387</v>
      </c>
      <c r="V96" s="3">
        <f t="shared" si="47"/>
        <v>311360375835.01239</v>
      </c>
      <c r="W96" s="3">
        <f t="shared" si="47"/>
        <v>320701187110.06274</v>
      </c>
      <c r="X96" s="3">
        <f t="shared" si="47"/>
        <v>330322222723.36462</v>
      </c>
      <c r="Y96" s="3">
        <f t="shared" si="47"/>
        <v>340231889405.06555</v>
      </c>
      <c r="Z96" s="3">
        <f t="shared" si="47"/>
        <v>350438846087.21753</v>
      </c>
      <c r="AA96" s="3">
        <f t="shared" si="47"/>
        <v>360952011469.83405</v>
      </c>
    </row>
    <row r="97" spans="1:27" x14ac:dyDescent="0.25">
      <c r="B97" s="168" t="s">
        <v>5</v>
      </c>
      <c r="C97" s="3">
        <f t="shared" ref="C97:AA97" si="48">VLOOKUP($B97,VoP_OTDS,C$80-2003,FALSE)*$C7+VLOOKUP($B97,VoP_OTDS,C$80-2003,FALSE)*$C20+$C46</f>
        <v>125135495795.58807</v>
      </c>
      <c r="D97" s="3">
        <f t="shared" si="48"/>
        <v>131395538795.58807</v>
      </c>
      <c r="E97" s="3">
        <f t="shared" si="48"/>
        <v>136316061795.58807</v>
      </c>
      <c r="F97" s="3">
        <f t="shared" si="48"/>
        <v>128273123795.58807</v>
      </c>
      <c r="G97" s="3">
        <f t="shared" si="48"/>
        <v>129824164795.58807</v>
      </c>
      <c r="H97" s="3">
        <f t="shared" si="48"/>
        <v>135701684795.58807</v>
      </c>
      <c r="I97" s="3">
        <f t="shared" si="48"/>
        <v>133145876795.58807</v>
      </c>
      <c r="J97" s="3">
        <f t="shared" si="48"/>
        <v>135721475795.58807</v>
      </c>
      <c r="K97" s="3">
        <f t="shared" si="48"/>
        <v>136961809085.58807</v>
      </c>
      <c r="L97" s="3">
        <f t="shared" si="48"/>
        <v>138239352374.28809</v>
      </c>
      <c r="M97" s="3">
        <f t="shared" si="48"/>
        <v>139555221961.64908</v>
      </c>
      <c r="N97" s="3">
        <f t="shared" si="48"/>
        <v>140910567636.63092</v>
      </c>
      <c r="O97" s="3">
        <f t="shared" si="48"/>
        <v>142306573681.86218</v>
      </c>
      <c r="P97" s="3">
        <f t="shared" si="48"/>
        <v>143744459908.45041</v>
      </c>
      <c r="Q97" s="3">
        <f t="shared" si="48"/>
        <v>145225482721.8363</v>
      </c>
      <c r="R97" s="3">
        <f t="shared" si="48"/>
        <v>146750936219.62372</v>
      </c>
      <c r="S97" s="3">
        <f t="shared" si="48"/>
        <v>148322153322.34479</v>
      </c>
      <c r="T97" s="3">
        <f t="shared" si="48"/>
        <v>149940506938.14749</v>
      </c>
      <c r="U97" s="3">
        <f t="shared" si="48"/>
        <v>151607411162.42429</v>
      </c>
      <c r="V97" s="3">
        <f t="shared" si="48"/>
        <v>153324322513.42938</v>
      </c>
      <c r="W97" s="3">
        <f t="shared" si="48"/>
        <v>155092741204.9646</v>
      </c>
      <c r="X97" s="3">
        <f t="shared" si="48"/>
        <v>156914212457.24591</v>
      </c>
      <c r="Y97" s="3">
        <f t="shared" si="48"/>
        <v>158790327847.09564</v>
      </c>
      <c r="Z97" s="3">
        <f t="shared" si="48"/>
        <v>160722726698.64087</v>
      </c>
      <c r="AA97" s="3">
        <f t="shared" si="48"/>
        <v>162713097515.73245</v>
      </c>
    </row>
    <row r="98" spans="1:27" x14ac:dyDescent="0.25">
      <c r="B98" s="168" t="s">
        <v>6</v>
      </c>
      <c r="C98" s="3">
        <f t="shared" ref="C98:AA98" si="49">VLOOKUP($B98,VoP_OTDS,C$80-2003,FALSE)*$C8+VLOOKUP($B98,VoP_OTDS,C$80-2003,FALSE)*$C21+$C47</f>
        <v>31111702000</v>
      </c>
      <c r="D98" s="3">
        <f t="shared" si="49"/>
        <v>39926360000</v>
      </c>
      <c r="E98" s="3">
        <f t="shared" si="49"/>
        <v>43012342000</v>
      </c>
      <c r="F98" s="3">
        <f t="shared" si="49"/>
        <v>41379604000</v>
      </c>
      <c r="G98" s="3">
        <f t="shared" si="49"/>
        <v>46126178000</v>
      </c>
      <c r="H98" s="3">
        <f t="shared" si="49"/>
        <v>49472700000</v>
      </c>
      <c r="I98" s="3">
        <f t="shared" si="49"/>
        <v>47734470000</v>
      </c>
      <c r="J98" s="3">
        <f t="shared" si="49"/>
        <v>51356354000</v>
      </c>
      <c r="K98" s="3">
        <f t="shared" si="49"/>
        <v>52897044620</v>
      </c>
      <c r="L98" s="3">
        <f t="shared" si="49"/>
        <v>54483955958.600006</v>
      </c>
      <c r="M98" s="3">
        <f t="shared" si="49"/>
        <v>56118474637.358002</v>
      </c>
      <c r="N98" s="3">
        <f t="shared" si="49"/>
        <v>57802028876.478737</v>
      </c>
      <c r="O98" s="3">
        <f t="shared" si="49"/>
        <v>59536089742.773102</v>
      </c>
      <c r="P98" s="3">
        <f t="shared" si="49"/>
        <v>61322172435.05629</v>
      </c>
      <c r="Q98" s="3">
        <f t="shared" si="49"/>
        <v>63161837608.107971</v>
      </c>
      <c r="R98" s="3">
        <f t="shared" si="49"/>
        <v>65056692736.351212</v>
      </c>
      <c r="S98" s="3">
        <f t="shared" si="49"/>
        <v>67008393518.44175</v>
      </c>
      <c r="T98" s="3">
        <f t="shared" si="49"/>
        <v>69018645323.994995</v>
      </c>
      <c r="U98" s="3">
        <f t="shared" si="49"/>
        <v>71089204683.714844</v>
      </c>
      <c r="V98" s="3">
        <f t="shared" si="49"/>
        <v>73221880824.226303</v>
      </c>
      <c r="W98" s="3">
        <f t="shared" si="49"/>
        <v>75418537248.953094</v>
      </c>
      <c r="X98" s="3">
        <f t="shared" si="49"/>
        <v>77681093366.421677</v>
      </c>
      <c r="Y98" s="3">
        <f t="shared" si="49"/>
        <v>80011526167.414337</v>
      </c>
      <c r="Z98" s="3">
        <f t="shared" si="49"/>
        <v>82411871952.436768</v>
      </c>
      <c r="AA98" s="3">
        <f t="shared" si="49"/>
        <v>84884228111.009872</v>
      </c>
    </row>
    <row r="99" spans="1:27" x14ac:dyDescent="0.25">
      <c r="B99" s="168" t="s">
        <v>7</v>
      </c>
      <c r="C99" s="3">
        <f t="shared" ref="C99:AA99" si="50">VLOOKUP($B99,VoP_OTDS,C$80-2003,FALSE)*$C9+VLOOKUP($B99,VoP_OTDS,C$80-2003,FALSE)*$C22+$C48</f>
        <v>9216450000</v>
      </c>
      <c r="D99" s="3">
        <f t="shared" si="50"/>
        <v>10985478000</v>
      </c>
      <c r="E99" s="3">
        <f t="shared" si="50"/>
        <v>13481302000</v>
      </c>
      <c r="F99" s="3">
        <f t="shared" si="50"/>
        <v>13559770000.000002</v>
      </c>
      <c r="G99" s="3">
        <f t="shared" si="50"/>
        <v>18491138000</v>
      </c>
      <c r="H99" s="3">
        <f t="shared" si="50"/>
        <v>28223174000</v>
      </c>
      <c r="I99" s="3">
        <f t="shared" si="50"/>
        <v>28859560000</v>
      </c>
      <c r="J99" s="3">
        <f t="shared" si="50"/>
        <v>25209368000</v>
      </c>
      <c r="K99" s="3">
        <f t="shared" si="50"/>
        <v>25965649040</v>
      </c>
      <c r="L99" s="3">
        <f t="shared" si="50"/>
        <v>26744618511.200001</v>
      </c>
      <c r="M99" s="3">
        <f t="shared" si="50"/>
        <v>27546957066.535999</v>
      </c>
      <c r="N99" s="3">
        <f t="shared" si="50"/>
        <v>28373365778.532082</v>
      </c>
      <c r="O99" s="3">
        <f t="shared" si="50"/>
        <v>29224566751.888046</v>
      </c>
      <c r="P99" s="3">
        <f t="shared" si="50"/>
        <v>30101303754.444687</v>
      </c>
      <c r="Q99" s="3">
        <f t="shared" si="50"/>
        <v>31004342867.07803</v>
      </c>
      <c r="R99" s="3">
        <f t="shared" si="50"/>
        <v>31934473153.09037</v>
      </c>
      <c r="S99" s="3">
        <f t="shared" si="50"/>
        <v>32892507347.683083</v>
      </c>
      <c r="T99" s="3">
        <f t="shared" si="50"/>
        <v>33879282568.113575</v>
      </c>
      <c r="U99" s="3">
        <f t="shared" si="50"/>
        <v>34895661045.156982</v>
      </c>
      <c r="V99" s="3">
        <f t="shared" si="50"/>
        <v>35942530876.511696</v>
      </c>
      <c r="W99" s="3">
        <f t="shared" si="50"/>
        <v>37020806802.807045</v>
      </c>
      <c r="X99" s="3">
        <f t="shared" si="50"/>
        <v>38131431006.891258</v>
      </c>
      <c r="Y99" s="3">
        <f t="shared" si="50"/>
        <v>39275373937.097992</v>
      </c>
      <c r="Z99" s="3">
        <f t="shared" si="50"/>
        <v>40453635155.21093</v>
      </c>
      <c r="AA99" s="3">
        <f t="shared" si="50"/>
        <v>41667244209.867264</v>
      </c>
    </row>
    <row r="100" spans="1:27" x14ac:dyDescent="0.25">
      <c r="B100" s="168" t="s">
        <v>8</v>
      </c>
      <c r="C100" s="3">
        <f t="shared" ref="C100:AA100" si="51">VLOOKUP($B100,VoP_OTDS,C$80-2003,FALSE)*$C10+VLOOKUP($B100,VoP_OTDS,C$80-2003,FALSE)*$C23+$C49</f>
        <v>46384205111.95343</v>
      </c>
      <c r="D100" s="3">
        <f t="shared" si="51"/>
        <v>46139829111.95343</v>
      </c>
      <c r="E100" s="3">
        <f t="shared" si="51"/>
        <v>46988349111.95343</v>
      </c>
      <c r="F100" s="3">
        <f t="shared" si="51"/>
        <v>47470963111.95343</v>
      </c>
      <c r="G100" s="3">
        <f t="shared" si="51"/>
        <v>48067160111.95343</v>
      </c>
      <c r="H100" s="3">
        <f t="shared" si="51"/>
        <v>48491804111.95343</v>
      </c>
      <c r="I100" s="3">
        <f t="shared" si="51"/>
        <v>48991799111.95343</v>
      </c>
      <c r="J100" s="3">
        <f t="shared" si="51"/>
        <v>47412534111.95343</v>
      </c>
      <c r="K100" s="3">
        <f t="shared" si="51"/>
        <v>47625976401.95343</v>
      </c>
      <c r="L100" s="3">
        <f t="shared" si="51"/>
        <v>47845821960.653427</v>
      </c>
      <c r="M100" s="3">
        <f t="shared" si="51"/>
        <v>48072262886.114433</v>
      </c>
      <c r="N100" s="3">
        <f t="shared" si="51"/>
        <v>48305497039.339264</v>
      </c>
      <c r="O100" s="3">
        <f t="shared" si="51"/>
        <v>48545728217.160835</v>
      </c>
      <c r="P100" s="3">
        <f t="shared" si="51"/>
        <v>48793166330.317062</v>
      </c>
      <c r="Q100" s="3">
        <f t="shared" si="51"/>
        <v>49048027586.867966</v>
      </c>
      <c r="R100" s="3">
        <f t="shared" si="51"/>
        <v>49310534681.115402</v>
      </c>
      <c r="S100" s="3">
        <f t="shared" si="51"/>
        <v>49580916988.190262</v>
      </c>
      <c r="T100" s="3">
        <f t="shared" si="51"/>
        <v>49859410764.477371</v>
      </c>
      <c r="U100" s="3">
        <f t="shared" si="51"/>
        <v>50146259354.053085</v>
      </c>
      <c r="V100" s="3">
        <f t="shared" si="51"/>
        <v>50441713401.316078</v>
      </c>
      <c r="W100" s="3">
        <f t="shared" si="51"/>
        <v>50746031069.996956</v>
      </c>
      <c r="X100" s="3">
        <f t="shared" si="51"/>
        <v>51059478268.738266</v>
      </c>
      <c r="Y100" s="3">
        <f t="shared" si="51"/>
        <v>51382328883.441803</v>
      </c>
      <c r="Z100" s="3">
        <f t="shared" si="51"/>
        <v>51714865016.586456</v>
      </c>
      <c r="AA100" s="3">
        <f t="shared" si="51"/>
        <v>52057377233.725449</v>
      </c>
    </row>
    <row r="101" spans="1:27" x14ac:dyDescent="0.25">
      <c r="B101" s="168" t="s">
        <v>10</v>
      </c>
      <c r="C101" s="3">
        <f t="shared" ref="C101:AA101" si="52">VLOOKUP($B101,VoP_OTDS,C$80-2003,FALSE)*$C11+VLOOKUP($B101,VoP_OTDS,C$80-2003,FALSE)*$C24+$C50</f>
        <v>37275354000</v>
      </c>
      <c r="D101" s="3">
        <f t="shared" si="52"/>
        <v>43507358000</v>
      </c>
      <c r="E101" s="3">
        <f t="shared" si="52"/>
        <v>44029063000</v>
      </c>
      <c r="F101" s="3">
        <f t="shared" si="52"/>
        <v>41804075000</v>
      </c>
      <c r="G101" s="3">
        <f t="shared" si="52"/>
        <v>46696855000</v>
      </c>
      <c r="H101" s="3">
        <f t="shared" si="52"/>
        <v>49508893000</v>
      </c>
      <c r="I101" s="3">
        <f t="shared" si="52"/>
        <v>50668008000</v>
      </c>
      <c r="J101" s="3">
        <f t="shared" si="52"/>
        <v>50208429000</v>
      </c>
      <c r="K101" s="3">
        <f t="shared" si="52"/>
        <v>51141681870</v>
      </c>
      <c r="L101" s="3">
        <f t="shared" si="52"/>
        <v>52102932326.100006</v>
      </c>
      <c r="M101" s="3">
        <f t="shared" si="52"/>
        <v>53093020295.883003</v>
      </c>
      <c r="N101" s="3">
        <f t="shared" si="52"/>
        <v>54112810904.759491</v>
      </c>
      <c r="O101" s="3">
        <f t="shared" si="52"/>
        <v>55163195231.902275</v>
      </c>
      <c r="P101" s="3">
        <f t="shared" si="52"/>
        <v>56245091088.859344</v>
      </c>
      <c r="Q101" s="3">
        <f t="shared" si="52"/>
        <v>57359443821.525124</v>
      </c>
      <c r="R101" s="3">
        <f t="shared" si="52"/>
        <v>58507227136.170876</v>
      </c>
      <c r="S101" s="3">
        <f t="shared" si="52"/>
        <v>59689443950.256004</v>
      </c>
      <c r="T101" s="3">
        <f t="shared" si="52"/>
        <v>60907127268.76368</v>
      </c>
      <c r="U101" s="3">
        <f t="shared" si="52"/>
        <v>62161341086.826591</v>
      </c>
      <c r="V101" s="3">
        <f t="shared" si="52"/>
        <v>63453181319.431389</v>
      </c>
      <c r="W101" s="3">
        <f t="shared" si="52"/>
        <v>64783776759.014328</v>
      </c>
      <c r="X101" s="3">
        <f t="shared" si="52"/>
        <v>66154290061.78476</v>
      </c>
      <c r="Y101" s="3">
        <f t="shared" si="52"/>
        <v>67565918763.638298</v>
      </c>
      <c r="Z101" s="3">
        <f t="shared" si="52"/>
        <v>69019896326.547455</v>
      </c>
      <c r="AA101" s="3">
        <f t="shared" si="52"/>
        <v>70517493216.343872</v>
      </c>
    </row>
    <row r="102" spans="1:27" x14ac:dyDescent="0.25">
      <c r="B102" s="168" t="s">
        <v>58</v>
      </c>
      <c r="C102" s="3" t="e">
        <f t="shared" ref="C102:AA102" si="53">VLOOKUP($B102,VoP_OTDS,C$80-2003,FALSE)*$C12+VLOOKUP($B102,VoP_OTDS,C$80-2003,FALSE)*$C25+$C51</f>
        <v>#N/A</v>
      </c>
      <c r="D102" s="3" t="e">
        <f t="shared" si="53"/>
        <v>#N/A</v>
      </c>
      <c r="E102" s="3" t="e">
        <f t="shared" si="53"/>
        <v>#N/A</v>
      </c>
      <c r="F102" s="3" t="e">
        <f t="shared" si="53"/>
        <v>#N/A</v>
      </c>
      <c r="G102" s="3" t="e">
        <f t="shared" si="53"/>
        <v>#N/A</v>
      </c>
      <c r="H102" s="3" t="e">
        <f t="shared" si="53"/>
        <v>#N/A</v>
      </c>
      <c r="I102" s="3" t="e">
        <f t="shared" si="53"/>
        <v>#N/A</v>
      </c>
      <c r="J102" s="3" t="e">
        <f t="shared" si="53"/>
        <v>#N/A</v>
      </c>
      <c r="K102" s="3" t="e">
        <f t="shared" si="53"/>
        <v>#N/A</v>
      </c>
      <c r="L102" s="3" t="e">
        <f t="shared" si="53"/>
        <v>#N/A</v>
      </c>
      <c r="M102" s="3" t="e">
        <f t="shared" si="53"/>
        <v>#N/A</v>
      </c>
      <c r="N102" s="3" t="e">
        <f t="shared" si="53"/>
        <v>#N/A</v>
      </c>
      <c r="O102" s="3" t="e">
        <f t="shared" si="53"/>
        <v>#N/A</v>
      </c>
      <c r="P102" s="3" t="e">
        <f t="shared" si="53"/>
        <v>#N/A</v>
      </c>
      <c r="Q102" s="3" t="e">
        <f t="shared" si="53"/>
        <v>#N/A</v>
      </c>
      <c r="R102" s="3" t="e">
        <f t="shared" si="53"/>
        <v>#N/A</v>
      </c>
      <c r="S102" s="3" t="e">
        <f t="shared" si="53"/>
        <v>#N/A</v>
      </c>
      <c r="T102" s="3" t="e">
        <f t="shared" si="53"/>
        <v>#N/A</v>
      </c>
      <c r="U102" s="3" t="e">
        <f t="shared" si="53"/>
        <v>#N/A</v>
      </c>
      <c r="V102" s="3" t="e">
        <f t="shared" si="53"/>
        <v>#N/A</v>
      </c>
      <c r="W102" s="3" t="e">
        <f t="shared" si="53"/>
        <v>#N/A</v>
      </c>
      <c r="X102" s="3" t="e">
        <f t="shared" si="53"/>
        <v>#N/A</v>
      </c>
      <c r="Y102" s="3" t="e">
        <f t="shared" si="53"/>
        <v>#N/A</v>
      </c>
      <c r="Z102" s="3" t="e">
        <f t="shared" si="53"/>
        <v>#N/A</v>
      </c>
      <c r="AA102" s="3" t="e">
        <f t="shared" si="53"/>
        <v>#N/A</v>
      </c>
    </row>
    <row r="104" spans="1:27" x14ac:dyDescent="0.25">
      <c r="A104" s="203" t="s">
        <v>463</v>
      </c>
      <c r="B104" s="203"/>
      <c r="C104" s="203"/>
    </row>
    <row r="105" spans="1:27" x14ac:dyDescent="0.25">
      <c r="A105" s="168" t="s">
        <v>161</v>
      </c>
      <c r="B105" t="s">
        <v>465</v>
      </c>
      <c r="C105" s="168">
        <v>2006</v>
      </c>
      <c r="D105" s="168">
        <v>2007</v>
      </c>
      <c r="E105" s="168">
        <v>2008</v>
      </c>
      <c r="F105" s="168">
        <v>2009</v>
      </c>
      <c r="G105" s="168">
        <v>2010</v>
      </c>
      <c r="H105" s="168">
        <v>2011</v>
      </c>
      <c r="I105" s="168">
        <v>2012</v>
      </c>
      <c r="J105" s="168">
        <v>2013</v>
      </c>
      <c r="K105" s="168">
        <v>2014</v>
      </c>
      <c r="L105" s="168">
        <v>2015</v>
      </c>
      <c r="M105" s="168">
        <v>2016</v>
      </c>
      <c r="N105" s="168">
        <v>2017</v>
      </c>
      <c r="O105" s="168">
        <v>2018</v>
      </c>
      <c r="P105" s="168">
        <v>2019</v>
      </c>
      <c r="Q105" s="168">
        <v>2020</v>
      </c>
      <c r="R105" s="168">
        <v>2021</v>
      </c>
      <c r="S105" s="168">
        <v>2022</v>
      </c>
      <c r="T105" s="168">
        <v>2023</v>
      </c>
      <c r="U105" s="168">
        <v>2024</v>
      </c>
      <c r="V105" s="168">
        <v>2025</v>
      </c>
      <c r="W105" s="168">
        <v>2026</v>
      </c>
      <c r="X105" s="168">
        <v>2027</v>
      </c>
      <c r="Y105" s="168">
        <v>2028</v>
      </c>
      <c r="Z105" s="168">
        <v>2029</v>
      </c>
      <c r="AA105" s="168">
        <v>2030</v>
      </c>
    </row>
    <row r="106" spans="1:27" x14ac:dyDescent="0.25">
      <c r="A106" t="s">
        <v>464</v>
      </c>
      <c r="B106" s="176">
        <f>IF(RIGHT(B220,1)="%",B220,B220/100)</f>
        <v>0.03</v>
      </c>
    </row>
    <row r="107" spans="1:27" x14ac:dyDescent="0.25">
      <c r="A107" s="168" t="s">
        <v>1</v>
      </c>
      <c r="B107" s="176" t="str">
        <f>IF(B221="","",IF(RIGHT(B221,1)="%",B221,B221/100))</f>
        <v/>
      </c>
      <c r="C107" s="3">
        <f>VLOOKUP($A107,VoP_Records,'VoP Calculations'!B$16-2004,FALSE)</f>
        <v>21914840000</v>
      </c>
      <c r="D107" s="3">
        <f>VLOOKUP($A107,VoP_Records,'VoP Calculations'!C$16-2004,FALSE)</f>
        <v>27997630000</v>
      </c>
      <c r="E107" s="3">
        <f>VLOOKUP($A107,VoP_Records,'VoP Calculations'!D$16-2004,FALSE)</f>
        <v>34654620000</v>
      </c>
      <c r="F107" s="3">
        <f>VLOOKUP($A107,VoP_Records,'VoP Calculations'!E$16-2004,FALSE)</f>
        <v>29716470000</v>
      </c>
      <c r="G107" s="3">
        <f>VLOOKUP($A107,VoP_Records,'VoP Calculations'!F$16-2004,FALSE)</f>
        <v>31683240000</v>
      </c>
      <c r="H107" s="3">
        <f>VLOOKUP($A107,VoP_Records,'VoP Calculations'!G$16-2004,FALSE)</f>
        <v>41370890000</v>
      </c>
      <c r="I107" s="3">
        <f>VLOOKUP($A107,VoP_Records,'VoP Calculations'!H$16-2004,FALSE)</f>
        <v>42626950000</v>
      </c>
      <c r="J107" s="3">
        <f>VLOOKUP($A107,VoP_Records,'VoP Calculations'!I$16-2004,FALSE)</f>
        <v>41027430000</v>
      </c>
      <c r="K107" s="3">
        <f t="shared" ref="K107:AA107" si="54">J107+J107*(IF($B107="",$B$106,$B107))</f>
        <v>42258252900</v>
      </c>
      <c r="L107" s="3">
        <f t="shared" si="54"/>
        <v>43526000487</v>
      </c>
      <c r="M107" s="3">
        <f t="shared" si="54"/>
        <v>44831780501.610001</v>
      </c>
      <c r="N107" s="3">
        <f t="shared" si="54"/>
        <v>46176733916.658302</v>
      </c>
      <c r="O107" s="3">
        <f t="shared" si="54"/>
        <v>47562035934.158051</v>
      </c>
      <c r="P107" s="3">
        <f t="shared" si="54"/>
        <v>48988897012.182793</v>
      </c>
      <c r="Q107" s="3">
        <f t="shared" si="54"/>
        <v>50458563922.548279</v>
      </c>
      <c r="R107" s="3">
        <f t="shared" si="54"/>
        <v>51972320840.224724</v>
      </c>
      <c r="S107" s="3">
        <f t="shared" si="54"/>
        <v>53531490465.431465</v>
      </c>
      <c r="T107" s="3">
        <f t="shared" si="54"/>
        <v>55137435179.394409</v>
      </c>
      <c r="U107" s="3">
        <f t="shared" si="54"/>
        <v>56791558234.776245</v>
      </c>
      <c r="V107" s="3">
        <f t="shared" si="54"/>
        <v>58495304981.819534</v>
      </c>
      <c r="W107" s="3">
        <f t="shared" si="54"/>
        <v>60250164131.274124</v>
      </c>
      <c r="X107" s="3">
        <f t="shared" si="54"/>
        <v>62057669055.212349</v>
      </c>
      <c r="Y107" s="3">
        <f t="shared" si="54"/>
        <v>63919399126.868721</v>
      </c>
      <c r="Z107" s="3">
        <f t="shared" si="54"/>
        <v>65836981100.674782</v>
      </c>
      <c r="AA107" s="3">
        <f t="shared" si="54"/>
        <v>67812090533.695023</v>
      </c>
    </row>
    <row r="108" spans="1:27" x14ac:dyDescent="0.25">
      <c r="A108" s="168" t="s">
        <v>2</v>
      </c>
      <c r="B108" s="176" t="str">
        <f t="shared" ref="B108:B116" si="55">IF(B222="","",IF(RIGHT(B222,1)="%",B222,B222/100))</f>
        <v/>
      </c>
      <c r="C108" s="3">
        <f>VLOOKUP($A108,VoP_Records,'VoP Calculations'!B$16-2004,FALSE)</f>
        <v>77145440000</v>
      </c>
      <c r="D108" s="3">
        <f>VLOOKUP($A108,VoP_Records,'VoP Calculations'!C$16-2004,FALSE)</f>
        <v>108990300000</v>
      </c>
      <c r="E108" s="3">
        <f>VLOOKUP($A108,VoP_Records,'VoP Calculations'!D$16-2004,FALSE)</f>
        <v>145739930000</v>
      </c>
      <c r="F108" s="3">
        <f>VLOOKUP($A108,VoP_Records,'VoP Calculations'!E$16-2004,FALSE)</f>
        <v>133491769999.99998</v>
      </c>
      <c r="G108" s="3">
        <f>VLOOKUP($A108,VoP_Records,'VoP Calculations'!F$16-2004,FALSE)</f>
        <v>162547330000</v>
      </c>
      <c r="H108" s="3">
        <f>VLOOKUP($A108,VoP_Records,'VoP Calculations'!G$16-2004,FALSE)</f>
        <v>209215220000</v>
      </c>
      <c r="I108" s="3">
        <f>VLOOKUP($A108,VoP_Records,'VoP Calculations'!H$16-2004,FALSE)</f>
        <v>202260950000</v>
      </c>
      <c r="J108" s="3">
        <f>VLOOKUP($A108,VoP_Records,'VoP Calculations'!I$16-2004,FALSE)</f>
        <v>219401560000</v>
      </c>
      <c r="K108" s="3">
        <f t="shared" ref="K108:AA108" si="56">J108+J108*(IF($B108="",$B$106,$B108))</f>
        <v>225983606800</v>
      </c>
      <c r="L108" s="3">
        <f t="shared" si="56"/>
        <v>232763115004</v>
      </c>
      <c r="M108" s="3">
        <f t="shared" si="56"/>
        <v>239746008454.12</v>
      </c>
      <c r="N108" s="3">
        <f t="shared" si="56"/>
        <v>246938388707.74359</v>
      </c>
      <c r="O108" s="3">
        <f t="shared" si="56"/>
        <v>254346540368.97589</v>
      </c>
      <c r="P108" s="3">
        <f t="shared" si="56"/>
        <v>261976936580.04517</v>
      </c>
      <c r="Q108" s="3">
        <f t="shared" si="56"/>
        <v>269836244677.44653</v>
      </c>
      <c r="R108" s="3">
        <f t="shared" si="56"/>
        <v>277931332017.76996</v>
      </c>
      <c r="S108" s="3">
        <f t="shared" si="56"/>
        <v>286269271978.30304</v>
      </c>
      <c r="T108" s="3">
        <f t="shared" si="56"/>
        <v>294857350137.6521</v>
      </c>
      <c r="U108" s="3">
        <f t="shared" si="56"/>
        <v>303703070641.78168</v>
      </c>
      <c r="V108" s="3">
        <f t="shared" si="56"/>
        <v>312814162761.03516</v>
      </c>
      <c r="W108" s="3">
        <f t="shared" si="56"/>
        <v>322198587643.86621</v>
      </c>
      <c r="X108" s="3">
        <f t="shared" si="56"/>
        <v>331864545273.18219</v>
      </c>
      <c r="Y108" s="3">
        <f t="shared" si="56"/>
        <v>341820481631.37769</v>
      </c>
      <c r="Z108" s="3">
        <f t="shared" si="56"/>
        <v>352075096080.31903</v>
      </c>
      <c r="AA108" s="3">
        <f t="shared" si="56"/>
        <v>362637348962.72858</v>
      </c>
    </row>
    <row r="109" spans="1:27" x14ac:dyDescent="0.25">
      <c r="A109" s="168" t="s">
        <v>3</v>
      </c>
      <c r="B109" s="176" t="str">
        <f t="shared" si="55"/>
        <v/>
      </c>
      <c r="C109" s="3">
        <f>VLOOKUP($A109,VoP_Records,'VoP Calculations'!B$16-2004,FALSE)</f>
        <v>17114860000</v>
      </c>
      <c r="D109" s="3">
        <f>VLOOKUP($A109,VoP_Records,'VoP Calculations'!C$16-2004,FALSE)</f>
        <v>21891480000</v>
      </c>
      <c r="E109" s="3">
        <f>VLOOKUP($A109,VoP_Records,'VoP Calculations'!D$16-2004,FALSE)</f>
        <v>31979370000</v>
      </c>
      <c r="F109" s="3">
        <f>VLOOKUP($A109,VoP_Records,'VoP Calculations'!E$16-2004,FALSE)</f>
        <v>25783060000</v>
      </c>
      <c r="G109" s="3">
        <f>VLOOKUP($A109,VoP_Records,'VoP Calculations'!F$16-2004,FALSE)</f>
        <v>26167520000</v>
      </c>
      <c r="H109" s="3">
        <f>VLOOKUP($A109,VoP_Records,'VoP Calculations'!G$16-2004,FALSE)</f>
        <v>32556450000</v>
      </c>
      <c r="I109" s="3">
        <f>VLOOKUP($A109,VoP_Records,'VoP Calculations'!H$16-2004,FALSE)</f>
        <v>37272460000</v>
      </c>
      <c r="J109" s="3">
        <f>VLOOKUP($A109,VoP_Records,'VoP Calculations'!I$16-2004,FALSE)</f>
        <v>41112280000</v>
      </c>
      <c r="K109" s="3">
        <f t="shared" ref="K109:AA109" si="57">J109+J109*(IF($B109="",$B$106,$B109))</f>
        <v>42345648400</v>
      </c>
      <c r="L109" s="3">
        <f t="shared" si="57"/>
        <v>43616017852</v>
      </c>
      <c r="M109" s="3">
        <f t="shared" si="57"/>
        <v>44924498387.559998</v>
      </c>
      <c r="N109" s="3">
        <f t="shared" si="57"/>
        <v>46272233339.186798</v>
      </c>
      <c r="O109" s="3">
        <f t="shared" si="57"/>
        <v>47660400339.362404</v>
      </c>
      <c r="P109" s="3">
        <f t="shared" si="57"/>
        <v>49090212349.543274</v>
      </c>
      <c r="Q109" s="3">
        <f t="shared" si="57"/>
        <v>50562918720.029572</v>
      </c>
      <c r="R109" s="3">
        <f t="shared" si="57"/>
        <v>52079806281.630455</v>
      </c>
      <c r="S109" s="3">
        <f t="shared" si="57"/>
        <v>53642200470.079369</v>
      </c>
      <c r="T109" s="3">
        <f t="shared" si="57"/>
        <v>55251466484.181747</v>
      </c>
      <c r="U109" s="3">
        <f t="shared" si="57"/>
        <v>56909010478.707199</v>
      </c>
      <c r="V109" s="3">
        <f t="shared" si="57"/>
        <v>58616280793.068413</v>
      </c>
      <c r="W109" s="3">
        <f t="shared" si="57"/>
        <v>60374769216.860466</v>
      </c>
      <c r="X109" s="3">
        <f t="shared" si="57"/>
        <v>62186012293.36628</v>
      </c>
      <c r="Y109" s="3">
        <f t="shared" si="57"/>
        <v>64051592662.167267</v>
      </c>
      <c r="Z109" s="3">
        <f t="shared" si="57"/>
        <v>65973140442.032288</v>
      </c>
      <c r="AA109" s="3">
        <f t="shared" si="57"/>
        <v>67952334655.293259</v>
      </c>
    </row>
    <row r="110" spans="1:27" x14ac:dyDescent="0.25">
      <c r="A110" s="168" t="s">
        <v>4</v>
      </c>
      <c r="B110" s="176" t="str">
        <f t="shared" si="55"/>
        <v/>
      </c>
      <c r="C110" s="3">
        <f>VLOOKUP($A110,VoP_Records,'VoP Calculations'!B$16-2004,FALSE)</f>
        <v>513138880000</v>
      </c>
      <c r="D110" s="3">
        <f>VLOOKUP($A110,VoP_Records,'VoP Calculations'!C$16-2004,FALSE)</f>
        <v>614438940000</v>
      </c>
      <c r="E110" s="3">
        <f>VLOOKUP($A110,VoP_Records,'VoP Calculations'!D$16-2004,FALSE)</f>
        <v>768741090000</v>
      </c>
      <c r="F110" s="3">
        <f>VLOOKUP($A110,VoP_Records,'VoP Calculations'!E$16-2004,FALSE)</f>
        <v>774921030000</v>
      </c>
      <c r="G110" s="3">
        <f>VLOOKUP($A110,VoP_Records,'VoP Calculations'!F$16-2004,FALSE)</f>
        <v>887215420000</v>
      </c>
      <c r="H110" s="3">
        <f>VLOOKUP($A110,VoP_Records,'VoP Calculations'!G$16-2004,FALSE)</f>
        <v>1152662210000</v>
      </c>
      <c r="I110" s="3">
        <f>VLOOKUP($A110,VoP_Records,'VoP Calculations'!H$16-2004,FALSE)</f>
        <v>1229716840000</v>
      </c>
      <c r="J110" s="3">
        <f>VLOOKUP($A110,VoP_Records,'VoP Calculations'!I$16-2004,FALSE)</f>
        <v>1284599430000</v>
      </c>
      <c r="K110" s="3">
        <f t="shared" ref="K110:AA110" si="58">J110+J110*(IF($B110="",$B$106,$B110))</f>
        <v>1323137412900</v>
      </c>
      <c r="L110" s="3">
        <f t="shared" si="58"/>
        <v>1362831535287</v>
      </c>
      <c r="M110" s="3">
        <f t="shared" si="58"/>
        <v>1403716481345.6101</v>
      </c>
      <c r="N110" s="3">
        <f t="shared" si="58"/>
        <v>1445827975785.9785</v>
      </c>
      <c r="O110" s="3">
        <f t="shared" si="58"/>
        <v>1489202815059.5579</v>
      </c>
      <c r="P110" s="3">
        <f t="shared" si="58"/>
        <v>1533878899511.3445</v>
      </c>
      <c r="Q110" s="3">
        <f t="shared" si="58"/>
        <v>1579895266496.6848</v>
      </c>
      <c r="R110" s="3">
        <f t="shared" si="58"/>
        <v>1627292124491.5854</v>
      </c>
      <c r="S110" s="3">
        <f t="shared" si="58"/>
        <v>1676110888226.333</v>
      </c>
      <c r="T110" s="3">
        <f t="shared" si="58"/>
        <v>1726394214873.123</v>
      </c>
      <c r="U110" s="3">
        <f t="shared" si="58"/>
        <v>1778186041319.3167</v>
      </c>
      <c r="V110" s="3">
        <f t="shared" si="58"/>
        <v>1831531622558.8962</v>
      </c>
      <c r="W110" s="3">
        <f t="shared" si="58"/>
        <v>1886477571235.6631</v>
      </c>
      <c r="X110" s="3">
        <f t="shared" si="58"/>
        <v>1943071898372.7329</v>
      </c>
      <c r="Y110" s="3">
        <f t="shared" si="58"/>
        <v>2001364055323.9148</v>
      </c>
      <c r="Z110" s="3">
        <f t="shared" si="58"/>
        <v>2061404976983.6323</v>
      </c>
      <c r="AA110" s="3">
        <f t="shared" si="58"/>
        <v>2123247126293.1414</v>
      </c>
    </row>
    <row r="111" spans="1:27" x14ac:dyDescent="0.25">
      <c r="A111" s="168" t="s">
        <v>5</v>
      </c>
      <c r="B111" s="176" t="str">
        <f t="shared" si="55"/>
        <v/>
      </c>
      <c r="C111" s="3">
        <f>VLOOKUP($A111,VoP_Records,'VoP Calculations'!B$16-2004,FALSE)</f>
        <v>307584630000</v>
      </c>
      <c r="D111" s="3">
        <f>VLOOKUP($A111,VoP_Records,'VoP Calculations'!C$16-2004,FALSE)</f>
        <v>370185060000</v>
      </c>
      <c r="E111" s="3">
        <f>VLOOKUP($A111,VoP_Records,'VoP Calculations'!D$16-2004,FALSE)</f>
        <v>419390290000</v>
      </c>
      <c r="F111" s="3">
        <f>VLOOKUP($A111,VoP_Records,'VoP Calculations'!E$16-2004,FALSE)</f>
        <v>338960910000</v>
      </c>
      <c r="G111" s="3">
        <f>VLOOKUP($A111,VoP_Records,'VoP Calculations'!F$16-2004,FALSE)</f>
        <v>354471320000</v>
      </c>
      <c r="H111" s="3">
        <f>VLOOKUP($A111,VoP_Records,'VoP Calculations'!G$16-2004,FALSE)</f>
        <v>413246520000</v>
      </c>
      <c r="I111" s="3">
        <f>VLOOKUP($A111,VoP_Records,'VoP Calculations'!H$16-2004,FALSE)</f>
        <v>387688440000</v>
      </c>
      <c r="J111" s="3">
        <f>VLOOKUP($A111,VoP_Records,'VoP Calculations'!I$16-2004,FALSE)</f>
        <v>413444430000</v>
      </c>
      <c r="K111" s="3">
        <f t="shared" ref="K111:AA111" si="59">J111+J111*(IF($B111="",$B$106,$B111))</f>
        <v>425847762900</v>
      </c>
      <c r="L111" s="3">
        <f t="shared" si="59"/>
        <v>438623195787</v>
      </c>
      <c r="M111" s="3">
        <f t="shared" si="59"/>
        <v>451781891660.60999</v>
      </c>
      <c r="N111" s="3">
        <f t="shared" si="59"/>
        <v>465335348410.42828</v>
      </c>
      <c r="O111" s="3">
        <f t="shared" si="59"/>
        <v>479295408862.74115</v>
      </c>
      <c r="P111" s="3">
        <f t="shared" si="59"/>
        <v>493674271128.62341</v>
      </c>
      <c r="Q111" s="3">
        <f t="shared" si="59"/>
        <v>508484499262.48212</v>
      </c>
      <c r="R111" s="3">
        <f t="shared" si="59"/>
        <v>523739034240.35657</v>
      </c>
      <c r="S111" s="3">
        <f t="shared" si="59"/>
        <v>539451205267.56726</v>
      </c>
      <c r="T111" s="3">
        <f t="shared" si="59"/>
        <v>555634741425.59424</v>
      </c>
      <c r="U111" s="3">
        <f t="shared" si="59"/>
        <v>572303783668.36206</v>
      </c>
      <c r="V111" s="3">
        <f t="shared" si="59"/>
        <v>589472897178.41296</v>
      </c>
      <c r="W111" s="3">
        <f t="shared" si="59"/>
        <v>607157084093.76538</v>
      </c>
      <c r="X111" s="3">
        <f t="shared" si="59"/>
        <v>625371796616.57837</v>
      </c>
      <c r="Y111" s="3">
        <f t="shared" si="59"/>
        <v>644132950515.07568</v>
      </c>
      <c r="Z111" s="3">
        <f t="shared" si="59"/>
        <v>663456939030.52795</v>
      </c>
      <c r="AA111" s="3">
        <f t="shared" si="59"/>
        <v>683360647201.44385</v>
      </c>
    </row>
    <row r="112" spans="1:27" x14ac:dyDescent="0.25">
      <c r="A112" s="168" t="s">
        <v>6</v>
      </c>
      <c r="B112" s="176" t="str">
        <f t="shared" si="55"/>
        <v/>
      </c>
      <c r="C112" s="3">
        <f>VLOOKUP($A112,VoP_Records,'VoP Calculations'!B$16-2004,FALSE)</f>
        <v>155558510000</v>
      </c>
      <c r="D112" s="3">
        <f>VLOOKUP($A112,VoP_Records,'VoP Calculations'!C$16-2004,FALSE)</f>
        <v>199631800000</v>
      </c>
      <c r="E112" s="3">
        <f>VLOOKUP($A112,VoP_Records,'VoP Calculations'!D$16-2004,FALSE)</f>
        <v>215061710000</v>
      </c>
      <c r="F112" s="3">
        <f>VLOOKUP($A112,VoP_Records,'VoP Calculations'!E$16-2004,FALSE)</f>
        <v>206898020000</v>
      </c>
      <c r="G112" s="3">
        <f>VLOOKUP($A112,VoP_Records,'VoP Calculations'!F$16-2004,FALSE)</f>
        <v>230630890000</v>
      </c>
      <c r="H112" s="3">
        <f>VLOOKUP($A112,VoP_Records,'VoP Calculations'!G$16-2004,FALSE)</f>
        <v>247363500000</v>
      </c>
      <c r="I112" s="3">
        <f>VLOOKUP($A112,VoP_Records,'VoP Calculations'!H$16-2004,FALSE)</f>
        <v>238672350000</v>
      </c>
      <c r="J112" s="3">
        <f>VLOOKUP($A112,VoP_Records,'VoP Calculations'!I$16-2004,FALSE)</f>
        <v>256781770000</v>
      </c>
      <c r="K112" s="3">
        <f t="shared" ref="K112:AA112" si="60">J112+J112*(IF($B112="",$B$106,$B112))</f>
        <v>264485223100</v>
      </c>
      <c r="L112" s="3">
        <f t="shared" si="60"/>
        <v>272419779793</v>
      </c>
      <c r="M112" s="3">
        <f t="shared" si="60"/>
        <v>280592373186.78998</v>
      </c>
      <c r="N112" s="3">
        <f t="shared" si="60"/>
        <v>289010144382.39368</v>
      </c>
      <c r="O112" s="3">
        <f t="shared" si="60"/>
        <v>297680448713.86548</v>
      </c>
      <c r="P112" s="3">
        <f t="shared" si="60"/>
        <v>306610862175.28143</v>
      </c>
      <c r="Q112" s="3">
        <f t="shared" si="60"/>
        <v>315809188040.53986</v>
      </c>
      <c r="R112" s="3">
        <f t="shared" si="60"/>
        <v>325283463681.75604</v>
      </c>
      <c r="S112" s="3">
        <f t="shared" si="60"/>
        <v>335041967592.20874</v>
      </c>
      <c r="T112" s="3">
        <f t="shared" si="60"/>
        <v>345093226619.97498</v>
      </c>
      <c r="U112" s="3">
        <f t="shared" si="60"/>
        <v>355446023418.57422</v>
      </c>
      <c r="V112" s="3">
        <f t="shared" si="60"/>
        <v>366109404121.13147</v>
      </c>
      <c r="W112" s="3">
        <f t="shared" si="60"/>
        <v>377092686244.76544</v>
      </c>
      <c r="X112" s="3">
        <f t="shared" si="60"/>
        <v>388405466832.1084</v>
      </c>
      <c r="Y112" s="3">
        <f t="shared" si="60"/>
        <v>400057630837.07166</v>
      </c>
      <c r="Z112" s="3">
        <f t="shared" si="60"/>
        <v>412059359762.18378</v>
      </c>
      <c r="AA112" s="3">
        <f t="shared" si="60"/>
        <v>424421140555.04932</v>
      </c>
    </row>
    <row r="113" spans="1:27" x14ac:dyDescent="0.25">
      <c r="A113" s="168" t="s">
        <v>7</v>
      </c>
      <c r="B113" s="176" t="str">
        <f t="shared" si="55"/>
        <v/>
      </c>
      <c r="C113" s="3">
        <f>VLOOKUP($A113,VoP_Records,'VoP Calculations'!B$16-2004,FALSE)</f>
        <v>46082250000</v>
      </c>
      <c r="D113" s="3">
        <f>VLOOKUP($A113,VoP_Records,'VoP Calculations'!C$16-2004,FALSE)</f>
        <v>54927390000</v>
      </c>
      <c r="E113" s="3">
        <f>VLOOKUP($A113,VoP_Records,'VoP Calculations'!D$16-2004,FALSE)</f>
        <v>67406509999.999992</v>
      </c>
      <c r="F113" s="3">
        <f>VLOOKUP($A113,VoP_Records,'VoP Calculations'!E$16-2004,FALSE)</f>
        <v>67798850000.000008</v>
      </c>
      <c r="G113" s="3">
        <f>VLOOKUP($A113,VoP_Records,'VoP Calculations'!F$16-2004,FALSE)</f>
        <v>92455690000</v>
      </c>
      <c r="H113" s="3">
        <f>VLOOKUP($A113,VoP_Records,'VoP Calculations'!G$16-2004,FALSE)</f>
        <v>141115870000</v>
      </c>
      <c r="I113" s="3">
        <f>VLOOKUP($A113,VoP_Records,'VoP Calculations'!H$16-2004,FALSE)</f>
        <v>144297800000</v>
      </c>
      <c r="J113" s="3">
        <f>VLOOKUP($A113,VoP_Records,'VoP Calculations'!I$16-2004,FALSE)</f>
        <v>126046840000</v>
      </c>
      <c r="K113" s="3">
        <f t="shared" ref="K113:AA113" si="61">J113+J113*(IF($B113="",$B$106,$B113))</f>
        <v>129828245200</v>
      </c>
      <c r="L113" s="3">
        <f t="shared" si="61"/>
        <v>133723092556</v>
      </c>
      <c r="M113" s="3">
        <f t="shared" si="61"/>
        <v>137734785332.67999</v>
      </c>
      <c r="N113" s="3">
        <f t="shared" si="61"/>
        <v>141866828892.6604</v>
      </c>
      <c r="O113" s="3">
        <f t="shared" si="61"/>
        <v>146122833759.44022</v>
      </c>
      <c r="P113" s="3">
        <f t="shared" si="61"/>
        <v>150506518772.22342</v>
      </c>
      <c r="Q113" s="3">
        <f t="shared" si="61"/>
        <v>155021714335.39014</v>
      </c>
      <c r="R113" s="3">
        <f t="shared" si="61"/>
        <v>159672365765.45184</v>
      </c>
      <c r="S113" s="3">
        <f t="shared" si="61"/>
        <v>164462536738.41541</v>
      </c>
      <c r="T113" s="3">
        <f t="shared" si="61"/>
        <v>169396412840.56787</v>
      </c>
      <c r="U113" s="3">
        <f t="shared" si="61"/>
        <v>174478305225.78491</v>
      </c>
      <c r="V113" s="3">
        <f t="shared" si="61"/>
        <v>179712654382.55847</v>
      </c>
      <c r="W113" s="3">
        <f t="shared" si="61"/>
        <v>185104034014.03522</v>
      </c>
      <c r="X113" s="3">
        <f t="shared" si="61"/>
        <v>190657155034.45627</v>
      </c>
      <c r="Y113" s="3">
        <f t="shared" si="61"/>
        <v>196376869685.48996</v>
      </c>
      <c r="Z113" s="3">
        <f t="shared" si="61"/>
        <v>202268175776.05466</v>
      </c>
      <c r="AA113" s="3">
        <f t="shared" si="61"/>
        <v>208336221049.3363</v>
      </c>
    </row>
    <row r="114" spans="1:27" x14ac:dyDescent="0.25">
      <c r="A114" s="168" t="s">
        <v>8</v>
      </c>
      <c r="B114" s="176" t="str">
        <f t="shared" si="55"/>
        <v/>
      </c>
      <c r="C114" s="3">
        <f>VLOOKUP($A114,VoP_Records,'VoP Calculations'!B$16-2004,FALSE)</f>
        <v>60864140000</v>
      </c>
      <c r="D114" s="3">
        <f>VLOOKUP($A114,VoP_Records,'VoP Calculations'!C$16-2004,FALSE)</f>
        <v>58420380000</v>
      </c>
      <c r="E114" s="3">
        <f>VLOOKUP($A114,VoP_Records,'VoP Calculations'!D$16-2004,FALSE)</f>
        <v>66905580000</v>
      </c>
      <c r="F114" s="3">
        <f>VLOOKUP($A114,VoP_Records,'VoP Calculations'!E$16-2004,FALSE)</f>
        <v>71731720000</v>
      </c>
      <c r="G114" s="3">
        <f>VLOOKUP($A114,VoP_Records,'VoP Calculations'!F$16-2004,FALSE)</f>
        <v>77693690000</v>
      </c>
      <c r="H114" s="3">
        <f>VLOOKUP($A114,VoP_Records,'VoP Calculations'!G$16-2004,FALSE)</f>
        <v>81940130000</v>
      </c>
      <c r="I114" s="3">
        <f>VLOOKUP($A114,VoP_Records,'VoP Calculations'!H$16-2004,FALSE)</f>
        <v>86940080000</v>
      </c>
      <c r="J114" s="3">
        <f>VLOOKUP($A114,VoP_Records,'VoP Calculations'!I$16-2004,FALSE)</f>
        <v>71147430000</v>
      </c>
      <c r="K114" s="3">
        <f t="shared" ref="K114:AA114" si="62">J114+J114*(IF($B114="",$B$106,$B114))</f>
        <v>73281852900</v>
      </c>
      <c r="L114" s="3">
        <f t="shared" si="62"/>
        <v>75480308487</v>
      </c>
      <c r="M114" s="3">
        <f t="shared" si="62"/>
        <v>77744717741.610001</v>
      </c>
      <c r="N114" s="3">
        <f t="shared" si="62"/>
        <v>80077059273.858307</v>
      </c>
      <c r="O114" s="3">
        <f t="shared" si="62"/>
        <v>82479371052.074051</v>
      </c>
      <c r="P114" s="3">
        <f t="shared" si="62"/>
        <v>84953752183.636276</v>
      </c>
      <c r="Q114" s="3">
        <f t="shared" si="62"/>
        <v>87502364749.14537</v>
      </c>
      <c r="R114" s="3">
        <f t="shared" si="62"/>
        <v>90127435691.619736</v>
      </c>
      <c r="S114" s="3">
        <f t="shared" si="62"/>
        <v>92831258762.368332</v>
      </c>
      <c r="T114" s="3">
        <f t="shared" si="62"/>
        <v>95616196525.23938</v>
      </c>
      <c r="U114" s="3">
        <f t="shared" si="62"/>
        <v>98484682420.996567</v>
      </c>
      <c r="V114" s="3">
        <f t="shared" si="62"/>
        <v>101439222893.62646</v>
      </c>
      <c r="W114" s="3">
        <f t="shared" si="62"/>
        <v>104482399580.43526</v>
      </c>
      <c r="X114" s="3">
        <f t="shared" si="62"/>
        <v>107616871567.84831</v>
      </c>
      <c r="Y114" s="3">
        <f t="shared" si="62"/>
        <v>110845377714.88376</v>
      </c>
      <c r="Z114" s="3">
        <f t="shared" si="62"/>
        <v>114170739046.33028</v>
      </c>
      <c r="AA114" s="3">
        <f t="shared" si="62"/>
        <v>117595861217.72018</v>
      </c>
    </row>
    <row r="115" spans="1:27" x14ac:dyDescent="0.25">
      <c r="A115" s="168" t="s">
        <v>10</v>
      </c>
      <c r="B115" s="176" t="str">
        <f t="shared" si="55"/>
        <v/>
      </c>
      <c r="C115" s="3">
        <f>VLOOKUP($A115,VoP_Records,'VoP Calculations'!B$16-2004,FALSE)</f>
        <v>181753540000</v>
      </c>
      <c r="D115" s="3">
        <f>VLOOKUP($A115,VoP_Records,'VoP Calculations'!C$16-2004,FALSE)</f>
        <v>244073580000</v>
      </c>
      <c r="E115" s="3">
        <f>VLOOKUP($A115,VoP_Records,'VoP Calculations'!D$16-2004,FALSE)</f>
        <v>249290630000</v>
      </c>
      <c r="F115" s="3">
        <f>VLOOKUP($A115,VoP_Records,'VoP Calculations'!E$16-2004,FALSE)</f>
        <v>227040750000</v>
      </c>
      <c r="G115" s="3">
        <f>VLOOKUP($A115,VoP_Records,'VoP Calculations'!F$16-2004,FALSE)</f>
        <v>275968550000</v>
      </c>
      <c r="H115" s="3">
        <f>VLOOKUP($A115,VoP_Records,'VoP Calculations'!G$16-2004,FALSE)</f>
        <v>304088930000</v>
      </c>
      <c r="I115" s="3">
        <f>VLOOKUP($A115,VoP_Records,'VoP Calculations'!H$16-2004,FALSE)</f>
        <v>315680080000</v>
      </c>
      <c r="J115" s="3">
        <f>VLOOKUP($A115,VoP_Records,'VoP Calculations'!I$16-2004,FALSE)</f>
        <v>311084290000</v>
      </c>
      <c r="K115" s="3">
        <f t="shared" ref="K115:AA115" si="63">J115+J115*(IF($B115="",$B$106,$B115))</f>
        <v>320416818700</v>
      </c>
      <c r="L115" s="3">
        <f t="shared" si="63"/>
        <v>330029323261</v>
      </c>
      <c r="M115" s="3">
        <f t="shared" si="63"/>
        <v>339930202958.83002</v>
      </c>
      <c r="N115" s="3">
        <f t="shared" si="63"/>
        <v>350128109047.59491</v>
      </c>
      <c r="O115" s="3">
        <f t="shared" si="63"/>
        <v>360631952319.02277</v>
      </c>
      <c r="P115" s="3">
        <f t="shared" si="63"/>
        <v>371450910888.59344</v>
      </c>
      <c r="Q115" s="3">
        <f t="shared" si="63"/>
        <v>382594438215.25122</v>
      </c>
      <c r="R115" s="3">
        <f t="shared" si="63"/>
        <v>394072271361.70874</v>
      </c>
      <c r="S115" s="3">
        <f t="shared" si="63"/>
        <v>405894439502.56</v>
      </c>
      <c r="T115" s="3">
        <f t="shared" si="63"/>
        <v>418071272687.63678</v>
      </c>
      <c r="U115" s="3">
        <f t="shared" si="63"/>
        <v>430613410868.26587</v>
      </c>
      <c r="V115" s="3">
        <f t="shared" si="63"/>
        <v>443531813194.31384</v>
      </c>
      <c r="W115" s="3">
        <f t="shared" si="63"/>
        <v>456837767590.14325</v>
      </c>
      <c r="X115" s="3">
        <f t="shared" si="63"/>
        <v>470542900617.84753</v>
      </c>
      <c r="Y115" s="3">
        <f t="shared" si="63"/>
        <v>484659187636.38293</v>
      </c>
      <c r="Z115" s="3">
        <f t="shared" si="63"/>
        <v>499198963265.47443</v>
      </c>
      <c r="AA115" s="3">
        <f t="shared" si="63"/>
        <v>514174932163.43866</v>
      </c>
    </row>
    <row r="116" spans="1:27" x14ac:dyDescent="0.25">
      <c r="A116" s="168">
        <f>'Custom Member Setup'!D92</f>
        <v>0</v>
      </c>
      <c r="B116" s="176" t="str">
        <f t="shared" si="55"/>
        <v/>
      </c>
      <c r="C116" s="3">
        <f>'Custom Member Calcs'!B92</f>
        <v>0</v>
      </c>
      <c r="D116" s="3">
        <f>'Custom Member Calcs'!C92</f>
        <v>0</v>
      </c>
      <c r="E116" s="3">
        <f>'Custom Member Calcs'!D92</f>
        <v>0</v>
      </c>
      <c r="F116" s="3">
        <f>'Custom Member Calcs'!E92</f>
        <v>0</v>
      </c>
      <c r="G116" s="3">
        <f>'Custom Member Calcs'!F92</f>
        <v>0</v>
      </c>
      <c r="H116" s="3">
        <f>'Custom Member Calcs'!G92</f>
        <v>0</v>
      </c>
      <c r="I116" s="3">
        <f>'Custom Member Calcs'!H92</f>
        <v>0</v>
      </c>
      <c r="J116" s="3">
        <f>'Custom Member Calcs'!I92</f>
        <v>0</v>
      </c>
      <c r="K116" s="3">
        <f t="shared" ref="K116:AA116" si="64">J116+J116*(IF($B116="",$B$106,$B116))</f>
        <v>0</v>
      </c>
      <c r="L116" s="3">
        <f t="shared" si="64"/>
        <v>0</v>
      </c>
      <c r="M116" s="3">
        <f t="shared" si="64"/>
        <v>0</v>
      </c>
      <c r="N116" s="3">
        <f t="shared" si="64"/>
        <v>0</v>
      </c>
      <c r="O116" s="3">
        <f t="shared" si="64"/>
        <v>0</v>
      </c>
      <c r="P116" s="3">
        <f t="shared" si="64"/>
        <v>0</v>
      </c>
      <c r="Q116" s="3">
        <f t="shared" si="64"/>
        <v>0</v>
      </c>
      <c r="R116" s="3">
        <f t="shared" si="64"/>
        <v>0</v>
      </c>
      <c r="S116" s="3">
        <f t="shared" si="64"/>
        <v>0</v>
      </c>
      <c r="T116" s="3">
        <f t="shared" si="64"/>
        <v>0</v>
      </c>
      <c r="U116" s="3">
        <f t="shared" si="64"/>
        <v>0</v>
      </c>
      <c r="V116" s="3">
        <f t="shared" si="64"/>
        <v>0</v>
      </c>
      <c r="W116" s="3">
        <f t="shared" si="64"/>
        <v>0</v>
      </c>
      <c r="X116" s="3">
        <f t="shared" si="64"/>
        <v>0</v>
      </c>
      <c r="Y116" s="3">
        <f t="shared" si="64"/>
        <v>0</v>
      </c>
      <c r="Z116" s="3">
        <f t="shared" si="64"/>
        <v>0</v>
      </c>
      <c r="AA116" s="3">
        <f t="shared" si="64"/>
        <v>0</v>
      </c>
    </row>
    <row r="118" spans="1:27" x14ac:dyDescent="0.25">
      <c r="A118" s="203" t="s">
        <v>467</v>
      </c>
      <c r="B118" s="203"/>
      <c r="C118" s="203"/>
    </row>
    <row r="119" spans="1:27" x14ac:dyDescent="0.25">
      <c r="A119" t="str">
        <f>B67</f>
        <v>Member</v>
      </c>
      <c r="B119" s="168">
        <v>2006</v>
      </c>
      <c r="C119" s="168">
        <v>2007</v>
      </c>
      <c r="D119" s="168">
        <v>2008</v>
      </c>
      <c r="E119" s="168">
        <v>2009</v>
      </c>
      <c r="F119" s="168">
        <v>2010</v>
      </c>
      <c r="G119" s="168">
        <v>2011</v>
      </c>
      <c r="H119" s="168">
        <v>2012</v>
      </c>
      <c r="I119" s="168">
        <v>2013</v>
      </c>
      <c r="J119" s="168">
        <v>2014</v>
      </c>
      <c r="K119" s="168">
        <v>2015</v>
      </c>
      <c r="L119" s="168">
        <v>2016</v>
      </c>
      <c r="M119" s="168">
        <v>2017</v>
      </c>
      <c r="N119" s="168">
        <v>2018</v>
      </c>
      <c r="O119" s="168">
        <v>2019</v>
      </c>
      <c r="P119" s="168">
        <v>2020</v>
      </c>
      <c r="Q119" s="168">
        <v>2021</v>
      </c>
      <c r="R119" s="168">
        <v>2022</v>
      </c>
      <c r="S119" s="168">
        <v>2023</v>
      </c>
      <c r="T119" s="168">
        <v>2024</v>
      </c>
      <c r="U119" s="168">
        <v>2025</v>
      </c>
      <c r="V119" s="168">
        <v>2026</v>
      </c>
      <c r="W119" s="168">
        <v>2027</v>
      </c>
      <c r="X119" s="168">
        <v>2028</v>
      </c>
      <c r="Y119" s="168">
        <v>2029</v>
      </c>
      <c r="Z119" s="168">
        <v>2030</v>
      </c>
    </row>
    <row r="120" spans="1:27" x14ac:dyDescent="0.25">
      <c r="A120" s="168" t="str">
        <f>IF(A68,B68,B68&amp;" (Off)")</f>
        <v>Australia</v>
      </c>
      <c r="B120" s="3">
        <f>IF($A68,IF($B246,C246,C68),"")</f>
        <v>2639596400.1312532</v>
      </c>
      <c r="C120" s="3">
        <f t="shared" ref="C120:Z129" si="65">IF($A68,IF($B246,D246,D68),"")</f>
        <v>3247875400.1312532</v>
      </c>
      <c r="D120" s="3">
        <f t="shared" si="65"/>
        <v>3913574400.1312532</v>
      </c>
      <c r="E120" s="3">
        <f t="shared" si="65"/>
        <v>3419759400.1312532</v>
      </c>
      <c r="F120" s="3">
        <f t="shared" si="65"/>
        <v>3616436400.1312532</v>
      </c>
      <c r="G120" s="3">
        <f t="shared" si="65"/>
        <v>4585201400.1312532</v>
      </c>
      <c r="H120" s="3">
        <f t="shared" si="65"/>
        <v>4710807400.1312532</v>
      </c>
      <c r="I120" s="3">
        <f t="shared" si="65"/>
        <v>4550855400.1312532</v>
      </c>
      <c r="J120" s="3">
        <f t="shared" si="65"/>
        <v>4673937690.1312532</v>
      </c>
      <c r="K120" s="3">
        <f t="shared" si="65"/>
        <v>4800712448.8312531</v>
      </c>
      <c r="L120" s="3">
        <f t="shared" si="65"/>
        <v>4931290450.2922535</v>
      </c>
      <c r="M120" s="3">
        <f t="shared" si="65"/>
        <v>5065785791.7970839</v>
      </c>
      <c r="N120" s="3">
        <f t="shared" si="65"/>
        <v>5204315993.5470581</v>
      </c>
      <c r="O120" s="3">
        <f t="shared" si="65"/>
        <v>5347002101.3495331</v>
      </c>
      <c r="P120" s="3">
        <f t="shared" si="65"/>
        <v>5493968792.3860817</v>
      </c>
      <c r="Q120" s="3">
        <f t="shared" si="65"/>
        <v>5645344484.1537256</v>
      </c>
      <c r="R120" s="3">
        <f t="shared" si="65"/>
        <v>5801261446.6744003</v>
      </c>
      <c r="S120" s="3">
        <f t="shared" si="65"/>
        <v>5961855918.0706949</v>
      </c>
      <c r="T120" s="3">
        <f t="shared" si="65"/>
        <v>6127268223.6088781</v>
      </c>
      <c r="U120" s="3">
        <f t="shared" si="65"/>
        <v>6297642898.3132067</v>
      </c>
      <c r="V120" s="3">
        <f t="shared" si="65"/>
        <v>6473128813.258666</v>
      </c>
      <c r="W120" s="3">
        <f t="shared" si="65"/>
        <v>6653879305.6524887</v>
      </c>
      <c r="X120" s="3">
        <f t="shared" si="65"/>
        <v>6840052312.8181257</v>
      </c>
      <c r="Y120" s="3">
        <f t="shared" si="65"/>
        <v>7031810510.1987314</v>
      </c>
      <c r="Z120" s="3">
        <f t="shared" si="65"/>
        <v>7229321453.5007563</v>
      </c>
    </row>
    <row r="121" spans="1:27" x14ac:dyDescent="0.25">
      <c r="A121" s="168" t="str">
        <f t="shared" ref="A121:A129" si="66">IF(A69,B69,B69&amp;" (Off)")</f>
        <v>Brazil</v>
      </c>
      <c r="B121" s="3">
        <f t="shared" ref="B121:Q129" si="67">IF($A69,IF($B247,C247,C69),"")</f>
        <v>16341193150</v>
      </c>
      <c r="C121" s="3">
        <f t="shared" si="67"/>
        <v>22710165150</v>
      </c>
      <c r="D121" s="3">
        <f t="shared" si="67"/>
        <v>30060091150</v>
      </c>
      <c r="E121" s="3">
        <f t="shared" si="67"/>
        <v>27610459150</v>
      </c>
      <c r="F121" s="3">
        <f t="shared" si="67"/>
        <v>33421571150</v>
      </c>
      <c r="G121" s="3">
        <f t="shared" si="67"/>
        <v>42755149150</v>
      </c>
      <c r="H121" s="3">
        <f t="shared" si="67"/>
        <v>41364295150</v>
      </c>
      <c r="I121" s="3">
        <f t="shared" si="67"/>
        <v>44792417150</v>
      </c>
      <c r="J121" s="3">
        <f t="shared" si="67"/>
        <v>46108826510</v>
      </c>
      <c r="K121" s="3">
        <f t="shared" si="67"/>
        <v>47464728150.800003</v>
      </c>
      <c r="L121" s="3">
        <f t="shared" si="67"/>
        <v>48861306840.824005</v>
      </c>
      <c r="M121" s="3">
        <f t="shared" si="67"/>
        <v>50299782891.548721</v>
      </c>
      <c r="N121" s="3">
        <f t="shared" si="67"/>
        <v>51781413223.795181</v>
      </c>
      <c r="O121" s="3">
        <f t="shared" si="67"/>
        <v>53307492466.009033</v>
      </c>
      <c r="P121" s="3">
        <f t="shared" si="67"/>
        <v>54879354085.489311</v>
      </c>
      <c r="Q121" s="3">
        <f t="shared" si="67"/>
        <v>56498371553.553993</v>
      </c>
      <c r="R121" s="3">
        <f t="shared" si="65"/>
        <v>58165959545.660614</v>
      </c>
      <c r="S121" s="3">
        <f t="shared" si="65"/>
        <v>59883575177.530426</v>
      </c>
      <c r="T121" s="3">
        <f t="shared" si="65"/>
        <v>61652719278.356339</v>
      </c>
      <c r="U121" s="3">
        <f t="shared" si="65"/>
        <v>63474937702.207031</v>
      </c>
      <c r="V121" s="3">
        <f t="shared" si="65"/>
        <v>65351822678.773247</v>
      </c>
      <c r="W121" s="3">
        <f t="shared" si="65"/>
        <v>67285014204.636444</v>
      </c>
      <c r="X121" s="3">
        <f t="shared" si="65"/>
        <v>69276201476.275543</v>
      </c>
      <c r="Y121" s="3">
        <f t="shared" si="65"/>
        <v>71327124366.063812</v>
      </c>
      <c r="Z121" s="3">
        <f t="shared" si="65"/>
        <v>73439574942.545715</v>
      </c>
    </row>
    <row r="122" spans="1:27" x14ac:dyDescent="0.25">
      <c r="A122" s="168" t="str">
        <f t="shared" si="66"/>
        <v>Canada</v>
      </c>
      <c r="B122" s="3">
        <f t="shared" si="67"/>
        <v>5782343191.1017885</v>
      </c>
      <c r="C122" s="3">
        <f t="shared" si="65"/>
        <v>6260005191.1017885</v>
      </c>
      <c r="D122" s="3">
        <f t="shared" si="65"/>
        <v>7268794191.1017885</v>
      </c>
      <c r="E122" s="3">
        <f t="shared" si="65"/>
        <v>6649163191.1017885</v>
      </c>
      <c r="F122" s="3">
        <f t="shared" si="65"/>
        <v>6687609191.1017885</v>
      </c>
      <c r="G122" s="3">
        <f t="shared" si="65"/>
        <v>7326502191.1017885</v>
      </c>
      <c r="H122" s="3">
        <f t="shared" si="65"/>
        <v>7798103191.1017885</v>
      </c>
      <c r="I122" s="3">
        <f t="shared" si="65"/>
        <v>8182085191.1017885</v>
      </c>
      <c r="J122" s="3">
        <f t="shared" si="65"/>
        <v>8305422031.1017885</v>
      </c>
      <c r="K122" s="3">
        <f t="shared" si="65"/>
        <v>8432458976.3017883</v>
      </c>
      <c r="L122" s="3">
        <f t="shared" si="65"/>
        <v>8563307029.8577881</v>
      </c>
      <c r="M122" s="3">
        <f t="shared" si="65"/>
        <v>8698080525.0204697</v>
      </c>
      <c r="N122" s="3">
        <f t="shared" si="65"/>
        <v>8836897225.0380287</v>
      </c>
      <c r="O122" s="3">
        <f t="shared" si="65"/>
        <v>8979878426.0561161</v>
      </c>
      <c r="P122" s="3">
        <f t="shared" si="65"/>
        <v>9127149063.1047459</v>
      </c>
      <c r="Q122" s="3">
        <f t="shared" si="65"/>
        <v>9278837819.2648354</v>
      </c>
      <c r="R122" s="3">
        <f t="shared" si="65"/>
        <v>9435077238.109726</v>
      </c>
      <c r="S122" s="3">
        <f t="shared" si="65"/>
        <v>9596003839.5199623</v>
      </c>
      <c r="T122" s="3">
        <f t="shared" si="65"/>
        <v>9761758238.9725075</v>
      </c>
      <c r="U122" s="3">
        <f t="shared" si="65"/>
        <v>9932485270.4086304</v>
      </c>
      <c r="V122" s="3">
        <f t="shared" si="65"/>
        <v>10108334112.787834</v>
      </c>
      <c r="W122" s="3">
        <f t="shared" si="65"/>
        <v>10289458420.438416</v>
      </c>
      <c r="X122" s="3">
        <f t="shared" si="65"/>
        <v>10476016457.318516</v>
      </c>
      <c r="Y122" s="3">
        <f t="shared" si="65"/>
        <v>10668171235.305017</v>
      </c>
      <c r="Z122" s="3">
        <f t="shared" si="65"/>
        <v>10866090656.631115</v>
      </c>
    </row>
    <row r="123" spans="1:27" x14ac:dyDescent="0.25">
      <c r="A123" s="168" t="str">
        <f t="shared" si="66"/>
        <v>China</v>
      </c>
      <c r="B123" s="3">
        <f t="shared" si="67"/>
        <v>87233609600</v>
      </c>
      <c r="C123" s="3">
        <f t="shared" si="65"/>
        <v>104454619800</v>
      </c>
      <c r="D123" s="3">
        <f t="shared" si="65"/>
        <v>130685985300.00002</v>
      </c>
      <c r="E123" s="3">
        <f t="shared" si="65"/>
        <v>131736575100.00002</v>
      </c>
      <c r="F123" s="3">
        <f t="shared" si="65"/>
        <v>150826621400</v>
      </c>
      <c r="G123" s="3">
        <f t="shared" si="65"/>
        <v>195952575700</v>
      </c>
      <c r="H123" s="3">
        <f t="shared" si="65"/>
        <v>209051862800</v>
      </c>
      <c r="I123" s="3">
        <f t="shared" si="65"/>
        <v>218381903100.00003</v>
      </c>
      <c r="J123" s="3">
        <f t="shared" si="65"/>
        <v>224933360193.00003</v>
      </c>
      <c r="K123" s="3">
        <f t="shared" si="65"/>
        <v>231681360998.79001</v>
      </c>
      <c r="L123" s="3">
        <f t="shared" si="65"/>
        <v>238631801828.75372</v>
      </c>
      <c r="M123" s="3">
        <f t="shared" si="65"/>
        <v>245790755883.61636</v>
      </c>
      <c r="N123" s="3">
        <f t="shared" si="65"/>
        <v>253164478560.12485</v>
      </c>
      <c r="O123" s="3">
        <f t="shared" si="65"/>
        <v>260759412916.92859</v>
      </c>
      <c r="P123" s="3">
        <f t="shared" si="65"/>
        <v>268582195304.43643</v>
      </c>
      <c r="Q123" s="3">
        <f t="shared" si="65"/>
        <v>276639661163.56952</v>
      </c>
      <c r="R123" s="3">
        <f t="shared" si="65"/>
        <v>284938850998.47662</v>
      </c>
      <c r="S123" s="3">
        <f t="shared" si="65"/>
        <v>293487016528.43097</v>
      </c>
      <c r="T123" s="3">
        <f t="shared" si="65"/>
        <v>302291627024.28387</v>
      </c>
      <c r="U123" s="3">
        <f t="shared" si="65"/>
        <v>311360375835.01239</v>
      </c>
      <c r="V123" s="3">
        <f t="shared" si="65"/>
        <v>320701187110.06274</v>
      </c>
      <c r="W123" s="3">
        <f t="shared" si="65"/>
        <v>330322222723.36462</v>
      </c>
      <c r="X123" s="3">
        <f t="shared" si="65"/>
        <v>340231889405.06555</v>
      </c>
      <c r="Y123" s="3">
        <f t="shared" si="65"/>
        <v>350438846087.21753</v>
      </c>
      <c r="Z123" s="3">
        <f t="shared" si="65"/>
        <v>360952011469.83405</v>
      </c>
    </row>
    <row r="124" spans="1:27" x14ac:dyDescent="0.25">
      <c r="A124" s="168" t="str">
        <f t="shared" si="66"/>
        <v>European Union</v>
      </c>
      <c r="B124" s="3">
        <f t="shared" si="67"/>
        <v>125135495795.58807</v>
      </c>
      <c r="C124" s="3">
        <f t="shared" si="65"/>
        <v>131395538795.58807</v>
      </c>
      <c r="D124" s="3">
        <f t="shared" si="65"/>
        <v>136316061795.58807</v>
      </c>
      <c r="E124" s="3">
        <f t="shared" si="65"/>
        <v>128273123795.58807</v>
      </c>
      <c r="F124" s="3">
        <f t="shared" si="65"/>
        <v>129824164795.58807</v>
      </c>
      <c r="G124" s="3">
        <f t="shared" si="65"/>
        <v>135701684795.58807</v>
      </c>
      <c r="H124" s="3">
        <f t="shared" si="65"/>
        <v>133145876795.58807</v>
      </c>
      <c r="I124" s="3">
        <f t="shared" si="65"/>
        <v>135721475795.58807</v>
      </c>
      <c r="J124" s="3">
        <f t="shared" si="65"/>
        <v>136961809085.58807</v>
      </c>
      <c r="K124" s="3">
        <f t="shared" si="65"/>
        <v>138239352374.28809</v>
      </c>
      <c r="L124" s="3">
        <f t="shared" si="65"/>
        <v>139555221961.64908</v>
      </c>
      <c r="M124" s="3">
        <f t="shared" si="65"/>
        <v>140910567636.63092</v>
      </c>
      <c r="N124" s="3">
        <f t="shared" si="65"/>
        <v>142306573681.86218</v>
      </c>
      <c r="O124" s="3">
        <f t="shared" si="65"/>
        <v>143744459908.45041</v>
      </c>
      <c r="P124" s="3">
        <f t="shared" si="65"/>
        <v>145225482721.8363</v>
      </c>
      <c r="Q124" s="3">
        <f t="shared" si="65"/>
        <v>146750936219.62372</v>
      </c>
      <c r="R124" s="3">
        <f t="shared" si="65"/>
        <v>148322153322.34479</v>
      </c>
      <c r="S124" s="3">
        <f t="shared" si="65"/>
        <v>149940506938.14749</v>
      </c>
      <c r="T124" s="3">
        <f t="shared" si="65"/>
        <v>151607411162.42429</v>
      </c>
      <c r="U124" s="3">
        <f t="shared" si="65"/>
        <v>153324322513.42938</v>
      </c>
      <c r="V124" s="3">
        <f t="shared" si="65"/>
        <v>155092741204.9646</v>
      </c>
      <c r="W124" s="3">
        <f t="shared" si="65"/>
        <v>156914212457.24591</v>
      </c>
      <c r="X124" s="3">
        <f t="shared" si="65"/>
        <v>158790327847.09564</v>
      </c>
      <c r="Y124" s="3">
        <f t="shared" si="65"/>
        <v>160722726698.64087</v>
      </c>
      <c r="Z124" s="3">
        <f t="shared" si="65"/>
        <v>162713097515.73245</v>
      </c>
    </row>
    <row r="125" spans="1:27" x14ac:dyDescent="0.25">
      <c r="A125" s="168" t="str">
        <f t="shared" si="66"/>
        <v>India</v>
      </c>
      <c r="B125" s="3">
        <f t="shared" si="67"/>
        <v>31111702000</v>
      </c>
      <c r="C125" s="3">
        <f t="shared" si="65"/>
        <v>39926360000</v>
      </c>
      <c r="D125" s="3">
        <f t="shared" si="65"/>
        <v>43012342000</v>
      </c>
      <c r="E125" s="3">
        <f t="shared" si="65"/>
        <v>41379604000</v>
      </c>
      <c r="F125" s="3">
        <f t="shared" si="65"/>
        <v>46126178000</v>
      </c>
      <c r="G125" s="3">
        <f t="shared" si="65"/>
        <v>49472700000</v>
      </c>
      <c r="H125" s="3">
        <f t="shared" si="65"/>
        <v>47734470000</v>
      </c>
      <c r="I125" s="3">
        <f t="shared" si="65"/>
        <v>51356354000</v>
      </c>
      <c r="J125" s="3">
        <f t="shared" si="65"/>
        <v>52897044620</v>
      </c>
      <c r="K125" s="3">
        <f t="shared" si="65"/>
        <v>54483955958.600006</v>
      </c>
      <c r="L125" s="3">
        <f t="shared" si="65"/>
        <v>56118474637.358002</v>
      </c>
      <c r="M125" s="3">
        <f t="shared" si="65"/>
        <v>57802028876.478737</v>
      </c>
      <c r="N125" s="3">
        <f t="shared" si="65"/>
        <v>59536089742.773102</v>
      </c>
      <c r="O125" s="3">
        <f t="shared" si="65"/>
        <v>61322172435.05629</v>
      </c>
      <c r="P125" s="3">
        <f t="shared" si="65"/>
        <v>63161837608.107971</v>
      </c>
      <c r="Q125" s="3">
        <f t="shared" si="65"/>
        <v>65056692736.351212</v>
      </c>
      <c r="R125" s="3">
        <f t="shared" si="65"/>
        <v>67008393518.44175</v>
      </c>
      <c r="S125" s="3">
        <f t="shared" si="65"/>
        <v>69018645323.994995</v>
      </c>
      <c r="T125" s="3">
        <f t="shared" si="65"/>
        <v>71089204683.714844</v>
      </c>
      <c r="U125" s="3">
        <f t="shared" si="65"/>
        <v>73221880824.226303</v>
      </c>
      <c r="V125" s="3">
        <f t="shared" si="65"/>
        <v>75418537248.953094</v>
      </c>
      <c r="W125" s="3">
        <f t="shared" si="65"/>
        <v>77681093366.421677</v>
      </c>
      <c r="X125" s="3">
        <f t="shared" si="65"/>
        <v>80011526167.414337</v>
      </c>
      <c r="Y125" s="3">
        <f t="shared" si="65"/>
        <v>82411871952.436768</v>
      </c>
      <c r="Z125" s="3">
        <f t="shared" si="65"/>
        <v>84884228111.009872</v>
      </c>
    </row>
    <row r="126" spans="1:27" x14ac:dyDescent="0.25">
      <c r="A126" s="168" t="str">
        <f t="shared" si="66"/>
        <v>Indonesia</v>
      </c>
      <c r="B126" s="3">
        <f t="shared" si="67"/>
        <v>9216450000</v>
      </c>
      <c r="C126" s="3">
        <f t="shared" si="65"/>
        <v>10985478000</v>
      </c>
      <c r="D126" s="3">
        <f t="shared" si="65"/>
        <v>13481302000</v>
      </c>
      <c r="E126" s="3">
        <f t="shared" si="65"/>
        <v>13559770000.000002</v>
      </c>
      <c r="F126" s="3">
        <f t="shared" si="65"/>
        <v>18491138000</v>
      </c>
      <c r="G126" s="3">
        <f t="shared" si="65"/>
        <v>28223174000</v>
      </c>
      <c r="H126" s="3">
        <f t="shared" si="65"/>
        <v>28859560000</v>
      </c>
      <c r="I126" s="3">
        <f t="shared" si="65"/>
        <v>25209368000</v>
      </c>
      <c r="J126" s="3">
        <f t="shared" si="65"/>
        <v>25965649040</v>
      </c>
      <c r="K126" s="3">
        <f t="shared" si="65"/>
        <v>26744618511.200001</v>
      </c>
      <c r="L126" s="3">
        <f t="shared" si="65"/>
        <v>27546957066.535999</v>
      </c>
      <c r="M126" s="3">
        <f t="shared" si="65"/>
        <v>28373365778.532082</v>
      </c>
      <c r="N126" s="3">
        <f t="shared" si="65"/>
        <v>29224566751.888046</v>
      </c>
      <c r="O126" s="3">
        <f t="shared" si="65"/>
        <v>30101303754.444687</v>
      </c>
      <c r="P126" s="3">
        <f t="shared" si="65"/>
        <v>31004342867.07803</v>
      </c>
      <c r="Q126" s="3">
        <f t="shared" si="65"/>
        <v>31934473153.09037</v>
      </c>
      <c r="R126" s="3">
        <f t="shared" si="65"/>
        <v>32892507347.683083</v>
      </c>
      <c r="S126" s="3">
        <f t="shared" si="65"/>
        <v>33879282568.113575</v>
      </c>
      <c r="T126" s="3">
        <f t="shared" si="65"/>
        <v>34895661045.156982</v>
      </c>
      <c r="U126" s="3">
        <f t="shared" si="65"/>
        <v>35942530876.511696</v>
      </c>
      <c r="V126" s="3">
        <f t="shared" si="65"/>
        <v>37020806802.807045</v>
      </c>
      <c r="W126" s="3">
        <f t="shared" si="65"/>
        <v>38131431006.891258</v>
      </c>
      <c r="X126" s="3">
        <f t="shared" si="65"/>
        <v>39275373937.097992</v>
      </c>
      <c r="Y126" s="3">
        <f t="shared" si="65"/>
        <v>40453635155.21093</v>
      </c>
      <c r="Z126" s="3">
        <f t="shared" si="65"/>
        <v>41667244209.867264</v>
      </c>
    </row>
    <row r="127" spans="1:27" x14ac:dyDescent="0.25">
      <c r="A127" s="168" t="str">
        <f t="shared" si="66"/>
        <v>Japan</v>
      </c>
      <c r="B127" s="3">
        <f t="shared" si="67"/>
        <v>46384205111.95343</v>
      </c>
      <c r="C127" s="3">
        <f t="shared" si="65"/>
        <v>46139829111.95343</v>
      </c>
      <c r="D127" s="3">
        <f t="shared" si="65"/>
        <v>46988349111.95343</v>
      </c>
      <c r="E127" s="3">
        <f t="shared" si="65"/>
        <v>47470963111.95343</v>
      </c>
      <c r="F127" s="3">
        <f t="shared" si="65"/>
        <v>48067160111.95343</v>
      </c>
      <c r="G127" s="3">
        <f t="shared" si="65"/>
        <v>48491804111.95343</v>
      </c>
      <c r="H127" s="3">
        <f t="shared" si="65"/>
        <v>48991799111.95343</v>
      </c>
      <c r="I127" s="3">
        <f t="shared" si="65"/>
        <v>47412534111.95343</v>
      </c>
      <c r="J127" s="3">
        <f t="shared" si="65"/>
        <v>47625976401.95343</v>
      </c>
      <c r="K127" s="3">
        <f t="shared" si="65"/>
        <v>47845821960.653427</v>
      </c>
      <c r="L127" s="3">
        <f t="shared" si="65"/>
        <v>48072262886.114433</v>
      </c>
      <c r="M127" s="3">
        <f t="shared" si="65"/>
        <v>48305497039.339264</v>
      </c>
      <c r="N127" s="3">
        <f t="shared" si="65"/>
        <v>48545728217.160835</v>
      </c>
      <c r="O127" s="3">
        <f t="shared" si="65"/>
        <v>48793166330.317062</v>
      </c>
      <c r="P127" s="3">
        <f t="shared" si="65"/>
        <v>49048027586.867966</v>
      </c>
      <c r="Q127" s="3">
        <f t="shared" si="65"/>
        <v>49310534681.115402</v>
      </c>
      <c r="R127" s="3">
        <f t="shared" si="65"/>
        <v>49580916988.190262</v>
      </c>
      <c r="S127" s="3">
        <f t="shared" si="65"/>
        <v>49859410764.477371</v>
      </c>
      <c r="T127" s="3">
        <f t="shared" si="65"/>
        <v>50146259354.053085</v>
      </c>
      <c r="U127" s="3">
        <f t="shared" si="65"/>
        <v>50441713401.316078</v>
      </c>
      <c r="V127" s="3">
        <f t="shared" si="65"/>
        <v>50746031069.996956</v>
      </c>
      <c r="W127" s="3">
        <f t="shared" si="65"/>
        <v>51059478268.738266</v>
      </c>
      <c r="X127" s="3">
        <f t="shared" si="65"/>
        <v>51382328883.441803</v>
      </c>
      <c r="Y127" s="3">
        <f t="shared" si="65"/>
        <v>51714865016.586456</v>
      </c>
      <c r="Z127" s="3">
        <f t="shared" si="65"/>
        <v>52057377233.725449</v>
      </c>
    </row>
    <row r="128" spans="1:27" x14ac:dyDescent="0.25">
      <c r="A128" s="168" t="str">
        <f t="shared" si="66"/>
        <v>United States of America</v>
      </c>
      <c r="B128" s="3">
        <f t="shared" si="67"/>
        <v>37275354000</v>
      </c>
      <c r="C128" s="3">
        <f t="shared" si="65"/>
        <v>43507358000</v>
      </c>
      <c r="D128" s="3">
        <f t="shared" si="65"/>
        <v>44029063000</v>
      </c>
      <c r="E128" s="3">
        <f t="shared" si="65"/>
        <v>41804075000</v>
      </c>
      <c r="F128" s="3">
        <f t="shared" si="65"/>
        <v>46696855000</v>
      </c>
      <c r="G128" s="3">
        <f t="shared" si="65"/>
        <v>49508893000</v>
      </c>
      <c r="H128" s="3">
        <f t="shared" si="65"/>
        <v>50668008000</v>
      </c>
      <c r="I128" s="3">
        <f t="shared" si="65"/>
        <v>50208429000</v>
      </c>
      <c r="J128" s="3">
        <f t="shared" si="65"/>
        <v>51141681870</v>
      </c>
      <c r="K128" s="3">
        <f t="shared" si="65"/>
        <v>52102932326.100006</v>
      </c>
      <c r="L128" s="3">
        <f t="shared" si="65"/>
        <v>53093020295.883003</v>
      </c>
      <c r="M128" s="3">
        <f t="shared" si="65"/>
        <v>54112810904.759491</v>
      </c>
      <c r="N128" s="3">
        <f t="shared" si="65"/>
        <v>55163195231.902275</v>
      </c>
      <c r="O128" s="3">
        <f t="shared" si="65"/>
        <v>56245091088.859344</v>
      </c>
      <c r="P128" s="3">
        <f t="shared" si="65"/>
        <v>57359443821.525124</v>
      </c>
      <c r="Q128" s="3">
        <f t="shared" si="65"/>
        <v>58507227136.170876</v>
      </c>
      <c r="R128" s="3">
        <f t="shared" si="65"/>
        <v>59689443950.256004</v>
      </c>
      <c r="S128" s="3">
        <f t="shared" si="65"/>
        <v>60907127268.76368</v>
      </c>
      <c r="T128" s="3">
        <f t="shared" si="65"/>
        <v>62161341086.826591</v>
      </c>
      <c r="U128" s="3">
        <f t="shared" si="65"/>
        <v>63453181319.431389</v>
      </c>
      <c r="V128" s="3">
        <f t="shared" si="65"/>
        <v>64783776759.014328</v>
      </c>
      <c r="W128" s="3">
        <f t="shared" si="65"/>
        <v>66154290061.78476</v>
      </c>
      <c r="X128" s="3">
        <f t="shared" si="65"/>
        <v>67565918763.638298</v>
      </c>
      <c r="Y128" s="3">
        <f t="shared" si="65"/>
        <v>69019896326.547455</v>
      </c>
      <c r="Z128" s="3">
        <f t="shared" si="65"/>
        <v>70517493216.343872</v>
      </c>
    </row>
    <row r="129" spans="1:27" x14ac:dyDescent="0.25">
      <c r="A129" s="168" t="str">
        <f t="shared" si="66"/>
        <v>CUSTOM</v>
      </c>
      <c r="B129" s="3" t="e">
        <f t="shared" si="67"/>
        <v>#N/A</v>
      </c>
      <c r="C129" s="3" t="e">
        <f t="shared" si="65"/>
        <v>#N/A</v>
      </c>
      <c r="D129" s="3" t="e">
        <f t="shared" si="65"/>
        <v>#N/A</v>
      </c>
      <c r="E129" s="3" t="e">
        <f t="shared" si="65"/>
        <v>#N/A</v>
      </c>
      <c r="F129" s="3" t="e">
        <f t="shared" si="65"/>
        <v>#N/A</v>
      </c>
      <c r="G129" s="3" t="e">
        <f t="shared" si="65"/>
        <v>#N/A</v>
      </c>
      <c r="H129" s="3" t="e">
        <f t="shared" si="65"/>
        <v>#N/A</v>
      </c>
      <c r="I129" s="3" t="e">
        <f t="shared" si="65"/>
        <v>#N/A</v>
      </c>
      <c r="J129" s="3" t="e">
        <f t="shared" si="65"/>
        <v>#N/A</v>
      </c>
      <c r="K129" s="3" t="e">
        <f t="shared" si="65"/>
        <v>#N/A</v>
      </c>
      <c r="L129" s="3" t="e">
        <f t="shared" si="65"/>
        <v>#N/A</v>
      </c>
      <c r="M129" s="3" t="e">
        <f t="shared" si="65"/>
        <v>#N/A</v>
      </c>
      <c r="N129" s="3" t="e">
        <f t="shared" si="65"/>
        <v>#N/A</v>
      </c>
      <c r="O129" s="3" t="e">
        <f t="shared" si="65"/>
        <v>#N/A</v>
      </c>
      <c r="P129" s="3" t="e">
        <f t="shared" si="65"/>
        <v>#N/A</v>
      </c>
      <c r="Q129" s="3" t="e">
        <f t="shared" si="65"/>
        <v>#N/A</v>
      </c>
      <c r="R129" s="3" t="e">
        <f t="shared" si="65"/>
        <v>#N/A</v>
      </c>
      <c r="S129" s="3" t="e">
        <f t="shared" si="65"/>
        <v>#N/A</v>
      </c>
      <c r="T129" s="3" t="e">
        <f t="shared" si="65"/>
        <v>#N/A</v>
      </c>
      <c r="U129" s="3" t="e">
        <f t="shared" si="65"/>
        <v>#N/A</v>
      </c>
      <c r="V129" s="3" t="e">
        <f t="shared" si="65"/>
        <v>#N/A</v>
      </c>
      <c r="W129" s="3" t="e">
        <f t="shared" si="65"/>
        <v>#N/A</v>
      </c>
      <c r="X129" s="3" t="e">
        <f t="shared" si="65"/>
        <v>#N/A</v>
      </c>
      <c r="Y129" s="3" t="e">
        <f t="shared" si="65"/>
        <v>#N/A</v>
      </c>
      <c r="Z129" s="3" t="e">
        <f t="shared" si="65"/>
        <v>#N/A</v>
      </c>
    </row>
    <row r="130" spans="1:27" x14ac:dyDescent="0.25">
      <c r="A130" s="168"/>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7" x14ac:dyDescent="0.25">
      <c r="A131" s="203" t="s">
        <v>468</v>
      </c>
      <c r="B131" s="203"/>
      <c r="C131" s="203"/>
    </row>
    <row r="132" spans="1:27" x14ac:dyDescent="0.25">
      <c r="A132" t="str">
        <f>'TDS Calculations'!A2</f>
        <v>Member</v>
      </c>
      <c r="B132" s="48">
        <f>IF(RIGHT(C220,1)="%",C220,C220/100)</f>
        <v>0.03</v>
      </c>
      <c r="C132" s="168">
        <v>2006</v>
      </c>
      <c r="D132" s="168">
        <v>2007</v>
      </c>
      <c r="E132" s="168">
        <v>2008</v>
      </c>
      <c r="F132" s="168">
        <v>2009</v>
      </c>
      <c r="G132" s="168">
        <v>2010</v>
      </c>
      <c r="H132" s="168">
        <v>2011</v>
      </c>
      <c r="I132" s="168">
        <v>2012</v>
      </c>
      <c r="J132" s="168">
        <v>2013</v>
      </c>
      <c r="K132" s="168">
        <v>2014</v>
      </c>
      <c r="L132" s="168">
        <v>2015</v>
      </c>
      <c r="M132" s="168">
        <v>2016</v>
      </c>
      <c r="N132" s="168">
        <v>2017</v>
      </c>
      <c r="O132" s="168">
        <v>2018</v>
      </c>
      <c r="P132" s="168">
        <v>2019</v>
      </c>
      <c r="Q132" s="168">
        <v>2020</v>
      </c>
      <c r="R132" s="168">
        <v>2021</v>
      </c>
      <c r="S132" s="168">
        <v>2022</v>
      </c>
      <c r="T132" s="168">
        <v>2023</v>
      </c>
      <c r="U132" s="168">
        <v>2024</v>
      </c>
      <c r="V132" s="168">
        <v>2025</v>
      </c>
      <c r="W132" s="168">
        <v>2026</v>
      </c>
      <c r="X132" s="168">
        <v>2027</v>
      </c>
      <c r="Y132" s="168">
        <v>2028</v>
      </c>
      <c r="Z132" s="168">
        <v>2029</v>
      </c>
      <c r="AA132" s="168">
        <v>2030</v>
      </c>
    </row>
    <row r="133" spans="1:27" x14ac:dyDescent="0.25">
      <c r="A133" s="168" t="str">
        <f>'TDS Calculations'!A3</f>
        <v>Australia</v>
      </c>
      <c r="B133" s="48" t="str">
        <f>IF(C221="","",IF(RIGHT(C221,1)="%",C221,C221/100))</f>
        <v/>
      </c>
      <c r="C133" s="3">
        <f>'TDS Calculations'!C15</f>
        <v>166631144.80053294</v>
      </c>
      <c r="D133" s="3">
        <f>'TDS Calculations'!D15</f>
        <v>176662877.05188915</v>
      </c>
      <c r="E133" s="3">
        <f>'TDS Calculations'!E15</f>
        <v>299175747.1108681</v>
      </c>
      <c r="F133" s="3">
        <f>'TDS Calculations'!F15</f>
        <v>129880559</v>
      </c>
      <c r="G133" s="3">
        <f>'TDS Calculations'!G15</f>
        <v>56828394</v>
      </c>
      <c r="H133" s="3">
        <f>'TDS Calculations'!H15</f>
        <v>90330986</v>
      </c>
      <c r="I133" s="3">
        <f>'TDS Calculations'!I15</f>
        <v>260301069</v>
      </c>
      <c r="J133" s="3">
        <f>'TDS Calculations'!J15</f>
        <v>277118433</v>
      </c>
      <c r="K133" s="3">
        <f>'TDS Calculations'!K15</f>
        <v>203951985</v>
      </c>
      <c r="L133" s="177">
        <f>K133+K133*IF($B133="",$B$132,$B133)</f>
        <v>210070544.55000001</v>
      </c>
      <c r="M133" s="177">
        <f t="shared" ref="M133:AA133" si="68">L133+L133*IF($B133="",$B$132,$B133)</f>
        <v>216372660.8865</v>
      </c>
      <c r="N133" s="177">
        <f t="shared" si="68"/>
        <v>222863840.71309501</v>
      </c>
      <c r="O133" s="177">
        <f t="shared" si="68"/>
        <v>229549755.93448785</v>
      </c>
      <c r="P133" s="177">
        <f t="shared" si="68"/>
        <v>236436248.61252248</v>
      </c>
      <c r="Q133" s="177">
        <f t="shared" si="68"/>
        <v>243529336.07089815</v>
      </c>
      <c r="R133" s="177">
        <f t="shared" si="68"/>
        <v>250835216.15302509</v>
      </c>
      <c r="S133" s="177">
        <f t="shared" si="68"/>
        <v>258360272.63761583</v>
      </c>
      <c r="T133" s="177">
        <f t="shared" si="68"/>
        <v>266111080.8167443</v>
      </c>
      <c r="U133" s="177">
        <f t="shared" si="68"/>
        <v>274094413.24124664</v>
      </c>
      <c r="V133" s="177">
        <f t="shared" si="68"/>
        <v>282317245.63848406</v>
      </c>
      <c r="W133" s="177">
        <f t="shared" si="68"/>
        <v>290786763.00763857</v>
      </c>
      <c r="X133" s="177">
        <f t="shared" si="68"/>
        <v>299510365.89786774</v>
      </c>
      <c r="Y133" s="177">
        <f t="shared" si="68"/>
        <v>308495676.87480378</v>
      </c>
      <c r="Z133" s="177">
        <f t="shared" si="68"/>
        <v>317750547.18104792</v>
      </c>
      <c r="AA133" s="177">
        <f t="shared" si="68"/>
        <v>327283063.59647936</v>
      </c>
    </row>
    <row r="134" spans="1:27" x14ac:dyDescent="0.25">
      <c r="A134" s="168" t="str">
        <f>'TDS Calculations'!A4</f>
        <v>Brazil</v>
      </c>
      <c r="B134" s="48" t="str">
        <f t="shared" ref="B134:B142" si="69">IF(C222="","",IF(RIGHT(C222,1)="%",C222,C222/100))</f>
        <v/>
      </c>
      <c r="C134" s="3">
        <f>'TDS Calculations'!C16</f>
        <v>1650548500</v>
      </c>
      <c r="D134" s="3">
        <f>'TDS Calculations'!D16</f>
        <v>2248036900</v>
      </c>
      <c r="E134" s="3">
        <f>'TDS Calculations'!E16</f>
        <v>2737467000</v>
      </c>
      <c r="F134" s="3">
        <f>'TDS Calculations'!F16</f>
        <v>2370739100</v>
      </c>
      <c r="G134" s="3">
        <f>'TDS Calculations'!G16</f>
        <v>3455756300</v>
      </c>
      <c r="H134" s="3">
        <f>'TDS Calculations'!H16</f>
        <v>3641927300</v>
      </c>
      <c r="I134" s="3">
        <f>'TDS Calculations'!I16</f>
        <v>2608584500</v>
      </c>
      <c r="J134" s="3">
        <f>'TDS Calculations'!J16</f>
        <v>2430165300</v>
      </c>
      <c r="K134" s="3">
        <f>'TDS Calculations'!K16</f>
        <v>2669461700</v>
      </c>
      <c r="L134" s="177">
        <f>K134+K134*IF($B134="",$B$132,$B134)</f>
        <v>2749545551</v>
      </c>
      <c r="M134" s="177">
        <f t="shared" ref="M134:AA134" si="70">L134+L134*IF($B134="",$B$132,$B134)</f>
        <v>2832031917.5300002</v>
      </c>
      <c r="N134" s="177">
        <f t="shared" si="70"/>
        <v>2916992875.0559001</v>
      </c>
      <c r="O134" s="177">
        <f t="shared" si="70"/>
        <v>3004502661.3075771</v>
      </c>
      <c r="P134" s="177">
        <f t="shared" si="70"/>
        <v>3094637741.1468043</v>
      </c>
      <c r="Q134" s="177">
        <f t="shared" si="70"/>
        <v>3187476873.3812084</v>
      </c>
      <c r="R134" s="177">
        <f t="shared" si="70"/>
        <v>3283101179.5826445</v>
      </c>
      <c r="S134" s="177">
        <f t="shared" si="70"/>
        <v>3381594214.9701238</v>
      </c>
      <c r="T134" s="177">
        <f t="shared" si="70"/>
        <v>3483042041.4192276</v>
      </c>
      <c r="U134" s="177">
        <f t="shared" si="70"/>
        <v>3587533302.6618042</v>
      </c>
      <c r="V134" s="177">
        <f t="shared" si="70"/>
        <v>3695159301.7416582</v>
      </c>
      <c r="W134" s="177">
        <f t="shared" si="70"/>
        <v>3806014080.7939081</v>
      </c>
      <c r="X134" s="177">
        <f t="shared" si="70"/>
        <v>3920194503.2177253</v>
      </c>
      <c r="Y134" s="177">
        <f t="shared" si="70"/>
        <v>4037800338.3142571</v>
      </c>
      <c r="Z134" s="177">
        <f t="shared" si="70"/>
        <v>4158934348.463685</v>
      </c>
      <c r="AA134" s="177">
        <f t="shared" si="70"/>
        <v>4283702378.9175954</v>
      </c>
    </row>
    <row r="135" spans="1:27" x14ac:dyDescent="0.25">
      <c r="A135" s="168" t="str">
        <f>'TDS Calculations'!A5</f>
        <v>Canada</v>
      </c>
      <c r="B135" s="48" t="str">
        <f t="shared" si="69"/>
        <v/>
      </c>
      <c r="C135" s="3">
        <f>'TDS Calculations'!C17</f>
        <v>1939352319.2237749</v>
      </c>
      <c r="D135" s="3">
        <f>'TDS Calculations'!D17</f>
        <v>2823318614.7546911</v>
      </c>
      <c r="E135" s="3">
        <f>'TDS Calculations'!E17</f>
        <v>3127427100.1676054</v>
      </c>
      <c r="F135" s="3">
        <f>'TDS Calculations'!F17</f>
        <v>2570150392.15413</v>
      </c>
      <c r="G135" s="3">
        <f>'TDS Calculations'!G17</f>
        <v>2942072190.5485468</v>
      </c>
      <c r="H135" s="3">
        <f>'TDS Calculations'!H17</f>
        <v>3016140365.1341271</v>
      </c>
      <c r="I135" s="3">
        <f>'TDS Calculations'!I17</f>
        <v>2892232817.525692</v>
      </c>
      <c r="J135" s="177">
        <f>I135+I135*IF($B135="",$B$132,$B135)</f>
        <v>2978999802.0514627</v>
      </c>
      <c r="K135" s="177">
        <f t="shared" ref="K135:AA135" si="71">J135+J135*IF($B135="",$B$132,$B135)</f>
        <v>3068369796.1130066</v>
      </c>
      <c r="L135" s="177">
        <f t="shared" si="71"/>
        <v>3160420889.996397</v>
      </c>
      <c r="M135" s="177">
        <f t="shared" si="71"/>
        <v>3255233516.6962891</v>
      </c>
      <c r="N135" s="177">
        <f t="shared" si="71"/>
        <v>3352890522.1971779</v>
      </c>
      <c r="O135" s="177">
        <f t="shared" si="71"/>
        <v>3453477237.8630934</v>
      </c>
      <c r="P135" s="177">
        <f t="shared" si="71"/>
        <v>3557081554.9989862</v>
      </c>
      <c r="Q135" s="177">
        <f t="shared" si="71"/>
        <v>3663794001.6489558</v>
      </c>
      <c r="R135" s="177">
        <f t="shared" si="71"/>
        <v>3773707821.6984243</v>
      </c>
      <c r="S135" s="177">
        <f t="shared" si="71"/>
        <v>3886919056.3493772</v>
      </c>
      <c r="T135" s="177">
        <f t="shared" si="71"/>
        <v>4003526628.0398583</v>
      </c>
      <c r="U135" s="177">
        <f t="shared" si="71"/>
        <v>4123632426.8810539</v>
      </c>
      <c r="V135" s="177">
        <f t="shared" si="71"/>
        <v>4247341399.6874857</v>
      </c>
      <c r="W135" s="177">
        <f t="shared" si="71"/>
        <v>4374761641.6781101</v>
      </c>
      <c r="X135" s="177">
        <f t="shared" si="71"/>
        <v>4506004490.9284534</v>
      </c>
      <c r="Y135" s="177">
        <f t="shared" si="71"/>
        <v>4641184625.6563072</v>
      </c>
      <c r="Z135" s="177">
        <f t="shared" si="71"/>
        <v>4780420164.4259968</v>
      </c>
      <c r="AA135" s="177">
        <f t="shared" si="71"/>
        <v>4923832769.358777</v>
      </c>
    </row>
    <row r="136" spans="1:27" x14ac:dyDescent="0.25">
      <c r="A136" s="168" t="str">
        <f>'TDS Calculations'!A6</f>
        <v>China</v>
      </c>
      <c r="B136" s="48" t="str">
        <f t="shared" si="69"/>
        <v/>
      </c>
      <c r="C136" s="3">
        <f>'TDS Calculations'!C18</f>
        <v>2009930999</v>
      </c>
      <c r="D136" s="3">
        <f>'TDS Calculations'!D18</f>
        <v>5453338325</v>
      </c>
      <c r="E136" s="3">
        <f>'TDS Calculations'!E18</f>
        <v>13856225058</v>
      </c>
      <c r="F136" s="3">
        <f>'TDS Calculations'!F18</f>
        <v>16418580676</v>
      </c>
      <c r="G136" s="3">
        <f>'TDS Calculations'!G18</f>
        <v>18582798362</v>
      </c>
      <c r="H136" s="177">
        <f>G136+G136*IF($B136="",$B$132,$B136)</f>
        <v>19140282312.860001</v>
      </c>
      <c r="I136" s="177">
        <f t="shared" ref="I136:AA136" si="72">H136+H136*IF($B136="",$B$132,$B136)</f>
        <v>19714490782.2458</v>
      </c>
      <c r="J136" s="177">
        <f t="shared" si="72"/>
        <v>20305925505.713173</v>
      </c>
      <c r="K136" s="177">
        <f t="shared" si="72"/>
        <v>20915103270.884567</v>
      </c>
      <c r="L136" s="177">
        <f t="shared" si="72"/>
        <v>21542556369.011105</v>
      </c>
      <c r="M136" s="177">
        <f t="shared" si="72"/>
        <v>22188833060.081436</v>
      </c>
      <c r="N136" s="177">
        <f t="shared" si="72"/>
        <v>22854498051.883881</v>
      </c>
      <c r="O136" s="177">
        <f t="shared" si="72"/>
        <v>23540132993.440395</v>
      </c>
      <c r="P136" s="177">
        <f t="shared" si="72"/>
        <v>24246336983.243607</v>
      </c>
      <c r="Q136" s="177">
        <f t="shared" si="72"/>
        <v>24973727092.740913</v>
      </c>
      <c r="R136" s="177">
        <f t="shared" si="72"/>
        <v>25722938905.52314</v>
      </c>
      <c r="S136" s="177">
        <f t="shared" si="72"/>
        <v>26494627072.688835</v>
      </c>
      <c r="T136" s="177">
        <f t="shared" si="72"/>
        <v>27289465884.869499</v>
      </c>
      <c r="U136" s="177">
        <f t="shared" si="72"/>
        <v>28108149861.415585</v>
      </c>
      <c r="V136" s="177">
        <f t="shared" si="72"/>
        <v>28951394357.258053</v>
      </c>
      <c r="W136" s="177">
        <f t="shared" si="72"/>
        <v>29819936187.975796</v>
      </c>
      <c r="X136" s="177">
        <f t="shared" si="72"/>
        <v>30714534273.61507</v>
      </c>
      <c r="Y136" s="177">
        <f t="shared" si="72"/>
        <v>31635970301.823521</v>
      </c>
      <c r="Z136" s="177">
        <f t="shared" si="72"/>
        <v>32585049410.878227</v>
      </c>
      <c r="AA136" s="177">
        <f t="shared" si="72"/>
        <v>33562600893.204575</v>
      </c>
    </row>
    <row r="137" spans="1:27" x14ac:dyDescent="0.25">
      <c r="A137" s="168" t="str">
        <f>'TDS Calculations'!A7</f>
        <v>European Union</v>
      </c>
      <c r="B137" s="48" t="str">
        <f t="shared" si="69"/>
        <v/>
      </c>
      <c r="C137" s="3">
        <f>'TDS Calculations'!C19</f>
        <v>36685508362.370712</v>
      </c>
      <c r="D137" s="3">
        <f>'TDS Calculations'!D19</f>
        <v>38019086418.192177</v>
      </c>
      <c r="E137" s="3">
        <f>'TDS Calculations'!E19</f>
        <v>20935545798.015553</v>
      </c>
      <c r="F137" s="3">
        <f>'TDS Calculations'!F19</f>
        <v>17576335948.449532</v>
      </c>
      <c r="G137" s="3">
        <f>'TDS Calculations'!G19</f>
        <v>13255788743.775139</v>
      </c>
      <c r="H137" s="3">
        <f>'TDS Calculations'!H19</f>
        <v>10757463937.663874</v>
      </c>
      <c r="I137" s="3">
        <f>'TDS Calculations'!I19</f>
        <v>9941896677.326088</v>
      </c>
      <c r="J137" s="3">
        <f>'TDS Calculations'!J19</f>
        <v>10015738091.125002</v>
      </c>
      <c r="K137" s="177">
        <f>J137+J137*IF($B137="",$B$132,$B137)</f>
        <v>10316210233.858751</v>
      </c>
      <c r="L137" s="177">
        <f t="shared" ref="L137:AA137" si="73">K137+K137*IF($B137="",$B$132,$B137)</f>
        <v>10625696540.874514</v>
      </c>
      <c r="M137" s="177">
        <f t="shared" si="73"/>
        <v>10944467437.10075</v>
      </c>
      <c r="N137" s="177">
        <f t="shared" si="73"/>
        <v>11272801460.213772</v>
      </c>
      <c r="O137" s="177">
        <f t="shared" si="73"/>
        <v>11610985504.020185</v>
      </c>
      <c r="P137" s="177">
        <f t="shared" si="73"/>
        <v>11959315069.140791</v>
      </c>
      <c r="Q137" s="177">
        <f t="shared" si="73"/>
        <v>12318094521.215015</v>
      </c>
      <c r="R137" s="177">
        <f t="shared" si="73"/>
        <v>12687637356.851465</v>
      </c>
      <c r="S137" s="177">
        <f t="shared" si="73"/>
        <v>13068266477.557009</v>
      </c>
      <c r="T137" s="177">
        <f t="shared" si="73"/>
        <v>13460314471.883718</v>
      </c>
      <c r="U137" s="177">
        <f t="shared" si="73"/>
        <v>13864123906.04023</v>
      </c>
      <c r="V137" s="177">
        <f t="shared" si="73"/>
        <v>14280047623.221437</v>
      </c>
      <c r="W137" s="177">
        <f t="shared" si="73"/>
        <v>14708449051.918081</v>
      </c>
      <c r="X137" s="177">
        <f t="shared" si="73"/>
        <v>15149702523.475624</v>
      </c>
      <c r="Y137" s="177">
        <f t="shared" si="73"/>
        <v>15604193599.179893</v>
      </c>
      <c r="Z137" s="177">
        <f t="shared" si="73"/>
        <v>16072319407.155291</v>
      </c>
      <c r="AA137" s="177">
        <f t="shared" si="73"/>
        <v>16554488989.369949</v>
      </c>
    </row>
    <row r="138" spans="1:27" x14ac:dyDescent="0.25">
      <c r="A138" s="168" t="str">
        <f>'TDS Calculations'!A8</f>
        <v>India</v>
      </c>
      <c r="B138" s="48" t="str">
        <f t="shared" si="69"/>
        <v/>
      </c>
      <c r="C138" s="3">
        <f>'TDS Calculations'!C20</f>
        <v>1790000</v>
      </c>
      <c r="D138" s="3">
        <f>'TDS Calculations'!D20</f>
        <v>0</v>
      </c>
      <c r="E138" s="3">
        <f>'TDS Calculations'!E20</f>
        <v>432820000</v>
      </c>
      <c r="F138" s="3">
        <f>'TDS Calculations'!F20</f>
        <v>1301260000</v>
      </c>
      <c r="G138" s="3">
        <f>'TDS Calculations'!G20</f>
        <v>1730480000</v>
      </c>
      <c r="H138" s="3">
        <f>'TDS Calculations'!H20</f>
        <v>2282170000</v>
      </c>
      <c r="I138" s="177">
        <f>H138+H138*IF($B138="",$B$132,$B138)</f>
        <v>2350635100</v>
      </c>
      <c r="J138" s="177">
        <f t="shared" ref="J138:AA138" si="74">I138+I138*IF($B138="",$B$132,$B138)</f>
        <v>2421154153</v>
      </c>
      <c r="K138" s="177">
        <f t="shared" si="74"/>
        <v>2493788777.5900002</v>
      </c>
      <c r="L138" s="177">
        <f t="shared" si="74"/>
        <v>2568602440.9177003</v>
      </c>
      <c r="M138" s="177">
        <f t="shared" si="74"/>
        <v>2645660514.1452312</v>
      </c>
      <c r="N138" s="177">
        <f t="shared" si="74"/>
        <v>2725030329.5695882</v>
      </c>
      <c r="O138" s="177">
        <f t="shared" si="74"/>
        <v>2806781239.456676</v>
      </c>
      <c r="P138" s="177">
        <f t="shared" si="74"/>
        <v>2890984676.6403761</v>
      </c>
      <c r="Q138" s="177">
        <f t="shared" si="74"/>
        <v>2977714216.9395876</v>
      </c>
      <c r="R138" s="177">
        <f t="shared" si="74"/>
        <v>3067045643.4477754</v>
      </c>
      <c r="S138" s="177">
        <f t="shared" si="74"/>
        <v>3159057012.7512088</v>
      </c>
      <c r="T138" s="177">
        <f t="shared" si="74"/>
        <v>3253828723.1337452</v>
      </c>
      <c r="U138" s="177">
        <f t="shared" si="74"/>
        <v>3351443584.8277574</v>
      </c>
      <c r="V138" s="177">
        <f t="shared" si="74"/>
        <v>3451986892.3725901</v>
      </c>
      <c r="W138" s="177">
        <f t="shared" si="74"/>
        <v>3555546499.1437678</v>
      </c>
      <c r="X138" s="177">
        <f t="shared" si="74"/>
        <v>3662212894.1180811</v>
      </c>
      <c r="Y138" s="177">
        <f t="shared" si="74"/>
        <v>3772079280.9416237</v>
      </c>
      <c r="Z138" s="177">
        <f t="shared" si="74"/>
        <v>3885241659.3698726</v>
      </c>
      <c r="AA138" s="177">
        <f t="shared" si="74"/>
        <v>4001798909.1509686</v>
      </c>
    </row>
    <row r="139" spans="1:27" x14ac:dyDescent="0.25">
      <c r="A139" s="168" t="str">
        <f>'TDS Calculations'!A9</f>
        <v>Indonesia</v>
      </c>
      <c r="B139" s="48" t="str">
        <f t="shared" si="69"/>
        <v/>
      </c>
      <c r="C139" s="3">
        <f>'TDS Calculations'!C21</f>
        <v>0</v>
      </c>
      <c r="D139" s="3">
        <f>'TDS Calculations'!D21</f>
        <v>0</v>
      </c>
      <c r="E139" s="3">
        <f>'TDS Calculations'!E21</f>
        <v>0</v>
      </c>
      <c r="F139" s="3">
        <f>'TDS Calculations'!F21</f>
        <v>0</v>
      </c>
      <c r="G139" s="3">
        <f>'TDS Calculations'!G21</f>
        <v>0</v>
      </c>
      <c r="H139" s="3">
        <f>'TDS Calculations'!H21</f>
        <v>0</v>
      </c>
      <c r="I139" s="177">
        <f>H139+H139*IF($B139="",$B$132,$B139)</f>
        <v>0</v>
      </c>
      <c r="J139" s="177">
        <f t="shared" ref="J139:AA139" si="75">I139+I139*IF($B139="",$B$132,$B139)</f>
        <v>0</v>
      </c>
      <c r="K139" s="177">
        <f t="shared" si="75"/>
        <v>0</v>
      </c>
      <c r="L139" s="177">
        <f t="shared" si="75"/>
        <v>0</v>
      </c>
      <c r="M139" s="177">
        <f t="shared" si="75"/>
        <v>0</v>
      </c>
      <c r="N139" s="177">
        <f t="shared" si="75"/>
        <v>0</v>
      </c>
      <c r="O139" s="177">
        <f t="shared" si="75"/>
        <v>0</v>
      </c>
      <c r="P139" s="177">
        <f t="shared" si="75"/>
        <v>0</v>
      </c>
      <c r="Q139" s="177">
        <f t="shared" si="75"/>
        <v>0</v>
      </c>
      <c r="R139" s="177">
        <f t="shared" si="75"/>
        <v>0</v>
      </c>
      <c r="S139" s="177">
        <f t="shared" si="75"/>
        <v>0</v>
      </c>
      <c r="T139" s="177">
        <f t="shared" si="75"/>
        <v>0</v>
      </c>
      <c r="U139" s="177">
        <f t="shared" si="75"/>
        <v>0</v>
      </c>
      <c r="V139" s="177">
        <f t="shared" si="75"/>
        <v>0</v>
      </c>
      <c r="W139" s="177">
        <f t="shared" si="75"/>
        <v>0</v>
      </c>
      <c r="X139" s="177">
        <f t="shared" si="75"/>
        <v>0</v>
      </c>
      <c r="Y139" s="177">
        <f t="shared" si="75"/>
        <v>0</v>
      </c>
      <c r="Z139" s="177">
        <f t="shared" si="75"/>
        <v>0</v>
      </c>
      <c r="AA139" s="177">
        <f t="shared" si="75"/>
        <v>0</v>
      </c>
    </row>
    <row r="140" spans="1:27" x14ac:dyDescent="0.25">
      <c r="A140" s="168" t="str">
        <f>'TDS Calculations'!A10</f>
        <v>Japan</v>
      </c>
      <c r="B140" s="48" t="str">
        <f t="shared" si="69"/>
        <v/>
      </c>
      <c r="C140" s="3">
        <f>'TDS Calculations'!C22</f>
        <v>5083599507.8195124</v>
      </c>
      <c r="D140" s="3">
        <f>'TDS Calculations'!D22</f>
        <v>4186706648.5890331</v>
      </c>
      <c r="E140" s="3">
        <f>'TDS Calculations'!E22</f>
        <v>6007172628.2564144</v>
      </c>
      <c r="F140" s="3">
        <f>'TDS Calculations'!F22</f>
        <v>7201842226.8806648</v>
      </c>
      <c r="G140" s="3">
        <f>'TDS Calculations'!G22</f>
        <v>6780707633.8730984</v>
      </c>
      <c r="H140" s="3">
        <f>'TDS Calculations'!H22</f>
        <v>8186283867.8635674</v>
      </c>
      <c r="I140" s="3">
        <f>'TDS Calculations'!I22</f>
        <v>8774838721.9846039</v>
      </c>
      <c r="J140" s="177">
        <f>I140+I140*IF($B140="",$B$132,$B140)</f>
        <v>9038083883.6441422</v>
      </c>
      <c r="K140" s="177">
        <f t="shared" ref="K140:AA140" si="76">J140+J140*IF($B140="",$B$132,$B140)</f>
        <v>9309226400.1534672</v>
      </c>
      <c r="L140" s="177">
        <f t="shared" si="76"/>
        <v>9588503192.1580715</v>
      </c>
      <c r="M140" s="177">
        <f t="shared" si="76"/>
        <v>9876158287.9228134</v>
      </c>
      <c r="N140" s="177">
        <f t="shared" si="76"/>
        <v>10172443036.560497</v>
      </c>
      <c r="O140" s="177">
        <f t="shared" si="76"/>
        <v>10477616327.657312</v>
      </c>
      <c r="P140" s="177">
        <f t="shared" si="76"/>
        <v>10791944817.487032</v>
      </c>
      <c r="Q140" s="177">
        <f t="shared" si="76"/>
        <v>11115703162.011642</v>
      </c>
      <c r="R140" s="177">
        <f t="shared" si="76"/>
        <v>11449174256.871992</v>
      </c>
      <c r="S140" s="177">
        <f t="shared" si="76"/>
        <v>11792649484.578152</v>
      </c>
      <c r="T140" s="177">
        <f t="shared" si="76"/>
        <v>12146428969.115496</v>
      </c>
      <c r="U140" s="177">
        <f t="shared" si="76"/>
        <v>12510821838.188961</v>
      </c>
      <c r="V140" s="177">
        <f t="shared" si="76"/>
        <v>12886146493.334629</v>
      </c>
      <c r="W140" s="177">
        <f t="shared" si="76"/>
        <v>13272730888.134668</v>
      </c>
      <c r="X140" s="177">
        <f t="shared" si="76"/>
        <v>13670912814.778708</v>
      </c>
      <c r="Y140" s="177">
        <f t="shared" si="76"/>
        <v>14081040199.222069</v>
      </c>
      <c r="Z140" s="177">
        <f t="shared" si="76"/>
        <v>14503471405.19873</v>
      </c>
      <c r="AA140" s="177">
        <f t="shared" si="76"/>
        <v>14938575547.354692</v>
      </c>
    </row>
    <row r="141" spans="1:27" x14ac:dyDescent="0.25">
      <c r="A141" s="168" t="str">
        <f>'TDS Calculations'!A11</f>
        <v>United States of America</v>
      </c>
      <c r="B141" s="48" t="str">
        <f t="shared" si="69"/>
        <v/>
      </c>
      <c r="C141" s="3">
        <f>'TDS Calculations'!C23</f>
        <v>11343212000</v>
      </c>
      <c r="D141" s="3">
        <f>'TDS Calculations'!D23</f>
        <v>8519584000</v>
      </c>
      <c r="E141" s="3">
        <f>'TDS Calculations'!E23</f>
        <v>15636405000</v>
      </c>
      <c r="F141" s="3">
        <f>'TDS Calculations'!F23</f>
        <v>12123814000</v>
      </c>
      <c r="G141" s="3">
        <f>'TDS Calculations'!G23</f>
        <v>9784248000</v>
      </c>
      <c r="H141" s="3">
        <f>'TDS Calculations'!H23</f>
        <v>14368353000</v>
      </c>
      <c r="I141" s="3">
        <f>'TDS Calculations'!I23</f>
        <v>12135103000</v>
      </c>
      <c r="J141" s="177">
        <f>I141+I141*IF($B141="",$B$132,$B141)</f>
        <v>12499156090</v>
      </c>
      <c r="K141" s="177">
        <f t="shared" ref="K141:AA141" si="77">J141+J141*IF($B141="",$B$132,$B141)</f>
        <v>12874130772.700001</v>
      </c>
      <c r="L141" s="177">
        <f t="shared" si="77"/>
        <v>13260354695.881001</v>
      </c>
      <c r="M141" s="177">
        <f t="shared" si="77"/>
        <v>13658165336.757431</v>
      </c>
      <c r="N141" s="177">
        <f t="shared" si="77"/>
        <v>14067910296.860153</v>
      </c>
      <c r="O141" s="177">
        <f t="shared" si="77"/>
        <v>14489947605.765957</v>
      </c>
      <c r="P141" s="177">
        <f t="shared" si="77"/>
        <v>14924646033.938936</v>
      </c>
      <c r="Q141" s="177">
        <f t="shared" si="77"/>
        <v>15372385414.957104</v>
      </c>
      <c r="R141" s="177">
        <f t="shared" si="77"/>
        <v>15833556977.405817</v>
      </c>
      <c r="S141" s="177">
        <f t="shared" si="77"/>
        <v>16308563686.727991</v>
      </c>
      <c r="T141" s="177">
        <f t="shared" si="77"/>
        <v>16797820597.32983</v>
      </c>
      <c r="U141" s="177">
        <f t="shared" si="77"/>
        <v>17301755215.249725</v>
      </c>
      <c r="V141" s="177">
        <f t="shared" si="77"/>
        <v>17820807871.707218</v>
      </c>
      <c r="W141" s="177">
        <f t="shared" si="77"/>
        <v>18355432107.858437</v>
      </c>
      <c r="X141" s="177">
        <f t="shared" si="77"/>
        <v>18906095071.094189</v>
      </c>
      <c r="Y141" s="177">
        <f t="shared" si="77"/>
        <v>19473277923.227013</v>
      </c>
      <c r="Z141" s="177">
        <f t="shared" si="77"/>
        <v>20057476260.923824</v>
      </c>
      <c r="AA141" s="177">
        <f t="shared" si="77"/>
        <v>20659200548.751537</v>
      </c>
    </row>
    <row r="142" spans="1:27" x14ac:dyDescent="0.25">
      <c r="A142" s="168">
        <f>'TDS Calculations'!A12</f>
        <v>0</v>
      </c>
      <c r="B142" s="48" t="str">
        <f t="shared" si="69"/>
        <v/>
      </c>
      <c r="C142" s="3">
        <f>'TDS Calculations'!C24</f>
        <v>0</v>
      </c>
      <c r="D142" s="3">
        <f>'TDS Calculations'!D24</f>
        <v>0</v>
      </c>
      <c r="E142" s="3">
        <f>'TDS Calculations'!E24</f>
        <v>0</v>
      </c>
      <c r="F142" s="3">
        <f>'TDS Calculations'!F24</f>
        <v>0</v>
      </c>
      <c r="G142" s="3">
        <f>'TDS Calculations'!G24</f>
        <v>0</v>
      </c>
      <c r="H142" s="3">
        <f>'TDS Calculations'!H24</f>
        <v>0</v>
      </c>
      <c r="I142" s="3">
        <f>'TDS Calculations'!I24</f>
        <v>0</v>
      </c>
      <c r="J142" s="3">
        <f>'TDS Calculations'!J24</f>
        <v>0</v>
      </c>
      <c r="K142" s="3">
        <f>'TDS Calculations'!K24</f>
        <v>0</v>
      </c>
      <c r="L142" s="3">
        <f>'TDS Calculations'!L24</f>
        <v>0</v>
      </c>
      <c r="M142" s="177">
        <f>L142+L142*IF($B142="",$B$132,$B142)</f>
        <v>0</v>
      </c>
      <c r="N142" s="3">
        <f>'TDS Calculations'!N12</f>
        <v>0</v>
      </c>
      <c r="O142" s="3">
        <f>'TDS Calculations'!O12</f>
        <v>0</v>
      </c>
      <c r="P142" s="3">
        <f>'TDS Calculations'!P12</f>
        <v>0</v>
      </c>
      <c r="Q142" s="3">
        <f>'TDS Calculations'!Q12</f>
        <v>0</v>
      </c>
      <c r="R142" s="3">
        <f>'TDS Calculations'!R12</f>
        <v>0</v>
      </c>
      <c r="S142" s="3">
        <f>'TDS Calculations'!S12</f>
        <v>0</v>
      </c>
      <c r="T142" s="3">
        <f>'TDS Calculations'!T12</f>
        <v>0</v>
      </c>
      <c r="U142" s="3">
        <f>'TDS Calculations'!U12</f>
        <v>0</v>
      </c>
      <c r="V142" s="3">
        <f>'TDS Calculations'!V12</f>
        <v>0</v>
      </c>
      <c r="W142" s="3">
        <f>'TDS Calculations'!W12</f>
        <v>0</v>
      </c>
      <c r="X142" s="3">
        <f>'TDS Calculations'!X12</f>
        <v>0</v>
      </c>
      <c r="Y142" s="3">
        <f>'TDS Calculations'!Y12</f>
        <v>0</v>
      </c>
      <c r="Z142" s="3">
        <f>'TDS Calculations'!Z12</f>
        <v>0</v>
      </c>
      <c r="AA142" s="3">
        <f>'TDS Calculations'!AA12</f>
        <v>0</v>
      </c>
    </row>
    <row r="144" spans="1:27" x14ac:dyDescent="0.25">
      <c r="A144" s="203" t="s">
        <v>469</v>
      </c>
      <c r="B144" s="203"/>
      <c r="C144" s="203"/>
    </row>
    <row r="145" spans="1:27" x14ac:dyDescent="0.25">
      <c r="A145" t="str">
        <f>A132</f>
        <v>Member</v>
      </c>
      <c r="B145" s="49">
        <f>B132</f>
        <v>0.03</v>
      </c>
      <c r="C145" s="168">
        <v>2006</v>
      </c>
      <c r="D145" s="168">
        <v>2007</v>
      </c>
      <c r="E145" s="168">
        <v>2008</v>
      </c>
      <c r="F145" s="168">
        <v>2009</v>
      </c>
      <c r="G145" s="168">
        <v>2010</v>
      </c>
      <c r="H145" s="168">
        <v>2011</v>
      </c>
      <c r="I145" s="168">
        <v>2012</v>
      </c>
      <c r="J145" s="168">
        <v>2013</v>
      </c>
      <c r="K145" s="168">
        <v>2014</v>
      </c>
      <c r="L145" s="168">
        <v>2015</v>
      </c>
      <c r="M145" s="168">
        <v>2016</v>
      </c>
      <c r="N145" s="168">
        <v>2017</v>
      </c>
      <c r="O145" s="168">
        <v>2018</v>
      </c>
      <c r="P145" s="168">
        <v>2019</v>
      </c>
      <c r="Q145" s="168">
        <v>2020</v>
      </c>
      <c r="R145" s="168">
        <v>2021</v>
      </c>
      <c r="S145" s="168">
        <v>2022</v>
      </c>
      <c r="T145" s="168">
        <v>2023</v>
      </c>
      <c r="U145" s="168">
        <v>2024</v>
      </c>
      <c r="V145" s="168">
        <v>2025</v>
      </c>
      <c r="W145" s="168">
        <v>2026</v>
      </c>
      <c r="X145" s="168">
        <v>2027</v>
      </c>
      <c r="Y145" s="168">
        <v>2028</v>
      </c>
      <c r="Z145" s="168">
        <v>2029</v>
      </c>
      <c r="AA145" s="168">
        <v>2030</v>
      </c>
    </row>
    <row r="146" spans="1:27" x14ac:dyDescent="0.25">
      <c r="A146" s="168" t="str">
        <f t="shared" ref="A146:B155" si="78">A133</f>
        <v>Australia</v>
      </c>
      <c r="B146" s="49" t="str">
        <f t="shared" si="78"/>
        <v/>
      </c>
      <c r="C146" s="3">
        <f>'TDS Calculations'!C29</f>
        <v>0</v>
      </c>
      <c r="D146" s="3">
        <f>'TDS Calculations'!D29</f>
        <v>0</v>
      </c>
      <c r="E146" s="3">
        <f>'TDS Calculations'!E29</f>
        <v>0</v>
      </c>
      <c r="F146" s="3">
        <f>'TDS Calculations'!F29</f>
        <v>0</v>
      </c>
      <c r="G146" s="3">
        <f>'TDS Calculations'!G29</f>
        <v>0</v>
      </c>
      <c r="H146" s="3">
        <f>'TDS Calculations'!H29</f>
        <v>0</v>
      </c>
      <c r="I146" s="3">
        <f>'TDS Calculations'!I29</f>
        <v>0</v>
      </c>
      <c r="J146" s="3">
        <f>'TDS Calculations'!J29</f>
        <v>0</v>
      </c>
      <c r="K146" s="3">
        <f>'TDS Calculations'!K29</f>
        <v>0</v>
      </c>
      <c r="L146" s="177">
        <f>K146+K146*IF($B146="",$B$145,$B146)</f>
        <v>0</v>
      </c>
      <c r="M146" s="177">
        <f t="shared" ref="M146:AA146" si="79">L146+L146*IF($B146="",$B$145,$B146)</f>
        <v>0</v>
      </c>
      <c r="N146" s="177">
        <f t="shared" si="79"/>
        <v>0</v>
      </c>
      <c r="O146" s="177">
        <f t="shared" si="79"/>
        <v>0</v>
      </c>
      <c r="P146" s="177">
        <f t="shared" si="79"/>
        <v>0</v>
      </c>
      <c r="Q146" s="177">
        <f t="shared" si="79"/>
        <v>0</v>
      </c>
      <c r="R146" s="177">
        <f t="shared" si="79"/>
        <v>0</v>
      </c>
      <c r="S146" s="177">
        <f t="shared" si="79"/>
        <v>0</v>
      </c>
      <c r="T146" s="177">
        <f t="shared" si="79"/>
        <v>0</v>
      </c>
      <c r="U146" s="177">
        <f t="shared" si="79"/>
        <v>0</v>
      </c>
      <c r="V146" s="177">
        <f t="shared" si="79"/>
        <v>0</v>
      </c>
      <c r="W146" s="177">
        <f t="shared" si="79"/>
        <v>0</v>
      </c>
      <c r="X146" s="177">
        <f t="shared" si="79"/>
        <v>0</v>
      </c>
      <c r="Y146" s="177">
        <f t="shared" si="79"/>
        <v>0</v>
      </c>
      <c r="Z146" s="177">
        <f t="shared" si="79"/>
        <v>0</v>
      </c>
      <c r="AA146" s="177">
        <f t="shared" si="79"/>
        <v>0</v>
      </c>
    </row>
    <row r="147" spans="1:27" x14ac:dyDescent="0.25">
      <c r="A147" s="168" t="str">
        <f t="shared" si="78"/>
        <v>Brazil</v>
      </c>
      <c r="B147" s="49" t="str">
        <f t="shared" si="78"/>
        <v/>
      </c>
      <c r="C147" s="3">
        <f>'TDS Calculations'!C30</f>
        <v>0</v>
      </c>
      <c r="D147" s="3">
        <f>'TDS Calculations'!D30</f>
        <v>0</v>
      </c>
      <c r="E147" s="3">
        <f>'TDS Calculations'!E30</f>
        <v>0</v>
      </c>
      <c r="F147" s="3">
        <f>'TDS Calculations'!F30</f>
        <v>0</v>
      </c>
      <c r="G147" s="3">
        <f>'TDS Calculations'!G30</f>
        <v>0</v>
      </c>
      <c r="H147" s="3">
        <f>'TDS Calculations'!H30</f>
        <v>0</v>
      </c>
      <c r="I147" s="3">
        <f>'TDS Calculations'!I30</f>
        <v>0</v>
      </c>
      <c r="J147" s="3">
        <f>'TDS Calculations'!J30</f>
        <v>0</v>
      </c>
      <c r="K147" s="3">
        <f>'TDS Calculations'!K30</f>
        <v>0</v>
      </c>
      <c r="L147" s="177">
        <f t="shared" ref="L147:AA147" si="80">K147+K147*IF($B147="",$B$145,$B147)</f>
        <v>0</v>
      </c>
      <c r="M147" s="177">
        <f t="shared" si="80"/>
        <v>0</v>
      </c>
      <c r="N147" s="177">
        <f t="shared" si="80"/>
        <v>0</v>
      </c>
      <c r="O147" s="177">
        <f t="shared" si="80"/>
        <v>0</v>
      </c>
      <c r="P147" s="177">
        <f t="shared" si="80"/>
        <v>0</v>
      </c>
      <c r="Q147" s="177">
        <f t="shared" si="80"/>
        <v>0</v>
      </c>
      <c r="R147" s="177">
        <f t="shared" si="80"/>
        <v>0</v>
      </c>
      <c r="S147" s="177">
        <f t="shared" si="80"/>
        <v>0</v>
      </c>
      <c r="T147" s="177">
        <f t="shared" si="80"/>
        <v>0</v>
      </c>
      <c r="U147" s="177">
        <f t="shared" si="80"/>
        <v>0</v>
      </c>
      <c r="V147" s="177">
        <f t="shared" si="80"/>
        <v>0</v>
      </c>
      <c r="W147" s="177">
        <f t="shared" si="80"/>
        <v>0</v>
      </c>
      <c r="X147" s="177">
        <f t="shared" si="80"/>
        <v>0</v>
      </c>
      <c r="Y147" s="177">
        <f t="shared" si="80"/>
        <v>0</v>
      </c>
      <c r="Z147" s="177">
        <f t="shared" si="80"/>
        <v>0</v>
      </c>
      <c r="AA147" s="177">
        <f t="shared" si="80"/>
        <v>0</v>
      </c>
    </row>
    <row r="148" spans="1:27" x14ac:dyDescent="0.25">
      <c r="A148" s="168" t="str">
        <f t="shared" si="78"/>
        <v>Canada</v>
      </c>
      <c r="B148" s="49" t="str">
        <f t="shared" si="78"/>
        <v/>
      </c>
      <c r="C148" s="3">
        <f>'TDS Calculations'!C31</f>
        <v>0</v>
      </c>
      <c r="D148" s="3">
        <f>'TDS Calculations'!D31</f>
        <v>0</v>
      </c>
      <c r="E148" s="3">
        <f>'TDS Calculations'!E31</f>
        <v>0</v>
      </c>
      <c r="F148" s="3">
        <f>'TDS Calculations'!F31</f>
        <v>0</v>
      </c>
      <c r="G148" s="3">
        <f>'TDS Calculations'!G31</f>
        <v>0</v>
      </c>
      <c r="H148" s="3">
        <f>'TDS Calculations'!H31</f>
        <v>0</v>
      </c>
      <c r="I148" s="3">
        <f>'TDS Calculations'!I31</f>
        <v>0</v>
      </c>
      <c r="J148" s="177">
        <f t="shared" ref="J148:AA148" si="81">I148+I148*IF($B148="",$B$145,$B148)</f>
        <v>0</v>
      </c>
      <c r="K148" s="177">
        <f t="shared" si="81"/>
        <v>0</v>
      </c>
      <c r="L148" s="177">
        <f t="shared" si="81"/>
        <v>0</v>
      </c>
      <c r="M148" s="177">
        <f t="shared" si="81"/>
        <v>0</v>
      </c>
      <c r="N148" s="177">
        <f t="shared" si="81"/>
        <v>0</v>
      </c>
      <c r="O148" s="177">
        <f t="shared" si="81"/>
        <v>0</v>
      </c>
      <c r="P148" s="177">
        <f t="shared" si="81"/>
        <v>0</v>
      </c>
      <c r="Q148" s="177">
        <f t="shared" si="81"/>
        <v>0</v>
      </c>
      <c r="R148" s="177">
        <f t="shared" si="81"/>
        <v>0</v>
      </c>
      <c r="S148" s="177">
        <f t="shared" si="81"/>
        <v>0</v>
      </c>
      <c r="T148" s="177">
        <f t="shared" si="81"/>
        <v>0</v>
      </c>
      <c r="U148" s="177">
        <f t="shared" si="81"/>
        <v>0</v>
      </c>
      <c r="V148" s="177">
        <f t="shared" si="81"/>
        <v>0</v>
      </c>
      <c r="W148" s="177">
        <f t="shared" si="81"/>
        <v>0</v>
      </c>
      <c r="X148" s="177">
        <f t="shared" si="81"/>
        <v>0</v>
      </c>
      <c r="Y148" s="177">
        <f t="shared" si="81"/>
        <v>0</v>
      </c>
      <c r="Z148" s="177">
        <f t="shared" si="81"/>
        <v>0</v>
      </c>
      <c r="AA148" s="177">
        <f t="shared" si="81"/>
        <v>0</v>
      </c>
    </row>
    <row r="149" spans="1:27" x14ac:dyDescent="0.25">
      <c r="A149" s="168" t="str">
        <f t="shared" si="78"/>
        <v>China</v>
      </c>
      <c r="B149" s="49" t="str">
        <f t="shared" si="78"/>
        <v/>
      </c>
      <c r="C149" s="3">
        <f>'TDS Calculations'!C32</f>
        <v>0</v>
      </c>
      <c r="D149" s="3">
        <f>'TDS Calculations'!D32</f>
        <v>0</v>
      </c>
      <c r="E149" s="3">
        <f>'TDS Calculations'!E32</f>
        <v>0</v>
      </c>
      <c r="F149" s="3">
        <f>'TDS Calculations'!F32</f>
        <v>0</v>
      </c>
      <c r="G149" s="3">
        <f>'TDS Calculations'!G32</f>
        <v>0</v>
      </c>
      <c r="H149" s="177">
        <f t="shared" ref="H149:K149" si="82">G149+G149*IF($B149="",$B$145,$B149)</f>
        <v>0</v>
      </c>
      <c r="I149" s="177">
        <f t="shared" si="82"/>
        <v>0</v>
      </c>
      <c r="J149" s="177">
        <f t="shared" si="82"/>
        <v>0</v>
      </c>
      <c r="K149" s="177">
        <f t="shared" si="82"/>
        <v>0</v>
      </c>
      <c r="L149" s="177">
        <f t="shared" ref="L149:AA149" si="83">K149+K149*IF($B149="",$B$145,$B149)</f>
        <v>0</v>
      </c>
      <c r="M149" s="177">
        <f t="shared" si="83"/>
        <v>0</v>
      </c>
      <c r="N149" s="177">
        <f t="shared" si="83"/>
        <v>0</v>
      </c>
      <c r="O149" s="177">
        <f t="shared" si="83"/>
        <v>0</v>
      </c>
      <c r="P149" s="177">
        <f t="shared" si="83"/>
        <v>0</v>
      </c>
      <c r="Q149" s="177">
        <f t="shared" si="83"/>
        <v>0</v>
      </c>
      <c r="R149" s="177">
        <f t="shared" si="83"/>
        <v>0</v>
      </c>
      <c r="S149" s="177">
        <f t="shared" si="83"/>
        <v>0</v>
      </c>
      <c r="T149" s="177">
        <f t="shared" si="83"/>
        <v>0</v>
      </c>
      <c r="U149" s="177">
        <f t="shared" si="83"/>
        <v>0</v>
      </c>
      <c r="V149" s="177">
        <f t="shared" si="83"/>
        <v>0</v>
      </c>
      <c r="W149" s="177">
        <f t="shared" si="83"/>
        <v>0</v>
      </c>
      <c r="X149" s="177">
        <f t="shared" si="83"/>
        <v>0</v>
      </c>
      <c r="Y149" s="177">
        <f t="shared" si="83"/>
        <v>0</v>
      </c>
      <c r="Z149" s="177">
        <f t="shared" si="83"/>
        <v>0</v>
      </c>
      <c r="AA149" s="177">
        <f t="shared" si="83"/>
        <v>0</v>
      </c>
    </row>
    <row r="150" spans="1:27" x14ac:dyDescent="0.25">
      <c r="A150" s="168" t="str">
        <f t="shared" si="78"/>
        <v>European Union</v>
      </c>
      <c r="B150" s="49" t="str">
        <f t="shared" si="78"/>
        <v/>
      </c>
      <c r="C150" s="3">
        <f>'TDS Calculations'!C33</f>
        <v>13445200000</v>
      </c>
      <c r="D150" s="3">
        <f>'TDS Calculations'!D33</f>
        <v>7791212144.1467266</v>
      </c>
      <c r="E150" s="3">
        <f>'TDS Calculations'!E33</f>
        <v>7524945565.5432091</v>
      </c>
      <c r="F150" s="3">
        <f>'TDS Calculations'!F33</f>
        <v>7434346777.6116009</v>
      </c>
      <c r="G150" s="3">
        <f>'TDS Calculations'!G33</f>
        <v>7051022679.6364784</v>
      </c>
      <c r="H150" s="3">
        <f>'TDS Calculations'!H33</f>
        <v>4350287252.3103666</v>
      </c>
      <c r="I150" s="3">
        <f>'TDS Calculations'!I33</f>
        <v>3830147092.9928384</v>
      </c>
      <c r="J150" s="3">
        <f>'TDS Calculations'!J33</f>
        <v>3652553887.3544755</v>
      </c>
      <c r="K150" s="177">
        <f t="shared" ref="K150:AA150" si="84">J150+J150*IF($B150="",$B$145,$B150)</f>
        <v>3762130503.9751096</v>
      </c>
      <c r="L150" s="177">
        <f t="shared" si="84"/>
        <v>3874994419.0943627</v>
      </c>
      <c r="M150" s="177">
        <f t="shared" si="84"/>
        <v>3991244251.6671934</v>
      </c>
      <c r="N150" s="177">
        <f t="shared" si="84"/>
        <v>4110981579.2172093</v>
      </c>
      <c r="O150" s="177">
        <f t="shared" si="84"/>
        <v>4234311026.5937257</v>
      </c>
      <c r="P150" s="177">
        <f t="shared" si="84"/>
        <v>4361340357.3915377</v>
      </c>
      <c r="Q150" s="177">
        <f t="shared" si="84"/>
        <v>4492180568.1132841</v>
      </c>
      <c r="R150" s="177">
        <f t="shared" si="84"/>
        <v>4626945985.156683</v>
      </c>
      <c r="S150" s="177">
        <f t="shared" si="84"/>
        <v>4765754364.7113838</v>
      </c>
      <c r="T150" s="177">
        <f t="shared" si="84"/>
        <v>4908726995.6527252</v>
      </c>
      <c r="U150" s="177">
        <f t="shared" si="84"/>
        <v>5055988805.5223074</v>
      </c>
      <c r="V150" s="177">
        <f t="shared" si="84"/>
        <v>5207668469.6879768</v>
      </c>
      <c r="W150" s="177">
        <f t="shared" si="84"/>
        <v>5363898523.778616</v>
      </c>
      <c r="X150" s="177">
        <f t="shared" si="84"/>
        <v>5524815479.4919748</v>
      </c>
      <c r="Y150" s="177">
        <f t="shared" si="84"/>
        <v>5690559943.8767338</v>
      </c>
      <c r="Z150" s="177">
        <f t="shared" si="84"/>
        <v>5861276742.1930361</v>
      </c>
      <c r="AA150" s="177">
        <f t="shared" si="84"/>
        <v>6037115044.458827</v>
      </c>
    </row>
    <row r="151" spans="1:27" x14ac:dyDescent="0.25">
      <c r="A151" s="168" t="str">
        <f t="shared" si="78"/>
        <v>India</v>
      </c>
      <c r="B151" s="49" t="str">
        <f t="shared" si="78"/>
        <v/>
      </c>
      <c r="C151" s="3">
        <f>'TDS Calculations'!C34</f>
        <v>0</v>
      </c>
      <c r="D151" s="3">
        <f>'TDS Calculations'!D34</f>
        <v>0</v>
      </c>
      <c r="E151" s="3">
        <f>'TDS Calculations'!E34</f>
        <v>0</v>
      </c>
      <c r="F151" s="3">
        <f>'TDS Calculations'!F34</f>
        <v>0</v>
      </c>
      <c r="G151" s="3">
        <f>'TDS Calculations'!G34</f>
        <v>0</v>
      </c>
      <c r="H151" s="3">
        <f>'TDS Calculations'!H34</f>
        <v>0</v>
      </c>
      <c r="I151" s="177">
        <f t="shared" ref="I151:K151" si="85">H151+H151*IF($B151="",$B$145,$B151)</f>
        <v>0</v>
      </c>
      <c r="J151" s="177">
        <f t="shared" si="85"/>
        <v>0</v>
      </c>
      <c r="K151" s="177">
        <f t="shared" si="85"/>
        <v>0</v>
      </c>
      <c r="L151" s="177">
        <f t="shared" ref="L151:AA151" si="86">K151+K151*IF($B151="",$B$145,$B151)</f>
        <v>0</v>
      </c>
      <c r="M151" s="177">
        <f t="shared" si="86"/>
        <v>0</v>
      </c>
      <c r="N151" s="177">
        <f t="shared" si="86"/>
        <v>0</v>
      </c>
      <c r="O151" s="177">
        <f t="shared" si="86"/>
        <v>0</v>
      </c>
      <c r="P151" s="177">
        <f t="shared" si="86"/>
        <v>0</v>
      </c>
      <c r="Q151" s="177">
        <f t="shared" si="86"/>
        <v>0</v>
      </c>
      <c r="R151" s="177">
        <f t="shared" si="86"/>
        <v>0</v>
      </c>
      <c r="S151" s="177">
        <f t="shared" si="86"/>
        <v>0</v>
      </c>
      <c r="T151" s="177">
        <f t="shared" si="86"/>
        <v>0</v>
      </c>
      <c r="U151" s="177">
        <f t="shared" si="86"/>
        <v>0</v>
      </c>
      <c r="V151" s="177">
        <f t="shared" si="86"/>
        <v>0</v>
      </c>
      <c r="W151" s="177">
        <f t="shared" si="86"/>
        <v>0</v>
      </c>
      <c r="X151" s="177">
        <f t="shared" si="86"/>
        <v>0</v>
      </c>
      <c r="Y151" s="177">
        <f t="shared" si="86"/>
        <v>0</v>
      </c>
      <c r="Z151" s="177">
        <f t="shared" si="86"/>
        <v>0</v>
      </c>
      <c r="AA151" s="177">
        <f t="shared" si="86"/>
        <v>0</v>
      </c>
    </row>
    <row r="152" spans="1:27" x14ac:dyDescent="0.25">
      <c r="A152" s="168" t="str">
        <f t="shared" si="78"/>
        <v>Indonesia</v>
      </c>
      <c r="B152" s="49" t="str">
        <f t="shared" si="78"/>
        <v/>
      </c>
      <c r="C152" s="3">
        <f>'TDS Calculations'!C35</f>
        <v>0</v>
      </c>
      <c r="D152" s="3">
        <f>'TDS Calculations'!D35</f>
        <v>0</v>
      </c>
      <c r="E152" s="3">
        <f>'TDS Calculations'!E35</f>
        <v>0</v>
      </c>
      <c r="F152" s="3">
        <f>'TDS Calculations'!F35</f>
        <v>0</v>
      </c>
      <c r="G152" s="3">
        <f>'TDS Calculations'!G35</f>
        <v>0</v>
      </c>
      <c r="H152" s="3">
        <f>'TDS Calculations'!H35</f>
        <v>0</v>
      </c>
      <c r="I152" s="177">
        <f t="shared" ref="I152:K152" si="87">H152+H152*IF($B152="",$B$145,$B152)</f>
        <v>0</v>
      </c>
      <c r="J152" s="177">
        <f t="shared" si="87"/>
        <v>0</v>
      </c>
      <c r="K152" s="177">
        <f t="shared" si="87"/>
        <v>0</v>
      </c>
      <c r="L152" s="177">
        <f t="shared" ref="L152:AA152" si="88">K152+K152*IF($B152="",$B$145,$B152)</f>
        <v>0</v>
      </c>
      <c r="M152" s="177">
        <f t="shared" si="88"/>
        <v>0</v>
      </c>
      <c r="N152" s="177">
        <f t="shared" si="88"/>
        <v>0</v>
      </c>
      <c r="O152" s="177">
        <f t="shared" si="88"/>
        <v>0</v>
      </c>
      <c r="P152" s="177">
        <f t="shared" si="88"/>
        <v>0</v>
      </c>
      <c r="Q152" s="177">
        <f t="shared" si="88"/>
        <v>0</v>
      </c>
      <c r="R152" s="177">
        <f t="shared" si="88"/>
        <v>0</v>
      </c>
      <c r="S152" s="177">
        <f t="shared" si="88"/>
        <v>0</v>
      </c>
      <c r="T152" s="177">
        <f t="shared" si="88"/>
        <v>0</v>
      </c>
      <c r="U152" s="177">
        <f t="shared" si="88"/>
        <v>0</v>
      </c>
      <c r="V152" s="177">
        <f t="shared" si="88"/>
        <v>0</v>
      </c>
      <c r="W152" s="177">
        <f t="shared" si="88"/>
        <v>0</v>
      </c>
      <c r="X152" s="177">
        <f t="shared" si="88"/>
        <v>0</v>
      </c>
      <c r="Y152" s="177">
        <f t="shared" si="88"/>
        <v>0</v>
      </c>
      <c r="Z152" s="177">
        <f t="shared" si="88"/>
        <v>0</v>
      </c>
      <c r="AA152" s="177">
        <f t="shared" si="88"/>
        <v>0</v>
      </c>
    </row>
    <row r="153" spans="1:27" x14ac:dyDescent="0.25">
      <c r="A153" s="168" t="str">
        <f t="shared" si="78"/>
        <v>Japan</v>
      </c>
      <c r="B153" s="49" t="str">
        <f t="shared" si="78"/>
        <v/>
      </c>
      <c r="C153" s="3">
        <f>'TDS Calculations'!C36</f>
        <v>656296844.2727741</v>
      </c>
      <c r="D153" s="3">
        <f>'TDS Calculations'!D36</f>
        <v>381433513.30910313</v>
      </c>
      <c r="E153" s="3">
        <f>'TDS Calculations'!E36</f>
        <v>324041728.74222887</v>
      </c>
      <c r="F153" s="3">
        <f>'TDS Calculations'!F36</f>
        <v>238554190.60261664</v>
      </c>
      <c r="G153" s="3">
        <f>'TDS Calculations'!G36</f>
        <v>3493612027.3846097</v>
      </c>
      <c r="H153" s="3">
        <f>'TDS Calculations'!H36</f>
        <v>1857179421.4362791</v>
      </c>
      <c r="I153" s="3">
        <f>'TDS Calculations'!I36</f>
        <v>1842291509.3179169</v>
      </c>
      <c r="J153" s="177">
        <f t="shared" ref="J153:AA153" si="89">I153+I153*IF($B153="",$B$145,$B153)</f>
        <v>1897560254.5974543</v>
      </c>
      <c r="K153" s="177">
        <f t="shared" si="89"/>
        <v>1954487062.235378</v>
      </c>
      <c r="L153" s="177">
        <f t="shared" si="89"/>
        <v>2013121674.1024394</v>
      </c>
      <c r="M153" s="177">
        <f t="shared" si="89"/>
        <v>2073515324.3255126</v>
      </c>
      <c r="N153" s="177">
        <f t="shared" si="89"/>
        <v>2135720784.0552781</v>
      </c>
      <c r="O153" s="177">
        <f t="shared" si="89"/>
        <v>2199792407.5769362</v>
      </c>
      <c r="P153" s="177">
        <f t="shared" si="89"/>
        <v>2265786179.8042445</v>
      </c>
      <c r="Q153" s="177">
        <f t="shared" si="89"/>
        <v>2333759765.1983719</v>
      </c>
      <c r="R153" s="177">
        <f t="shared" si="89"/>
        <v>2403772558.1543231</v>
      </c>
      <c r="S153" s="177">
        <f t="shared" si="89"/>
        <v>2475885734.898953</v>
      </c>
      <c r="T153" s="177">
        <f t="shared" si="89"/>
        <v>2550162306.9459214</v>
      </c>
      <c r="U153" s="177">
        <f t="shared" si="89"/>
        <v>2626667176.1542993</v>
      </c>
      <c r="V153" s="177">
        <f t="shared" si="89"/>
        <v>2705467191.4389281</v>
      </c>
      <c r="W153" s="177">
        <f t="shared" si="89"/>
        <v>2786631207.182096</v>
      </c>
      <c r="X153" s="177">
        <f t="shared" si="89"/>
        <v>2870230143.3975587</v>
      </c>
      <c r="Y153" s="177">
        <f t="shared" si="89"/>
        <v>2956337047.6994853</v>
      </c>
      <c r="Z153" s="177">
        <f t="shared" si="89"/>
        <v>3045027159.1304698</v>
      </c>
      <c r="AA153" s="177">
        <f t="shared" si="89"/>
        <v>3136377973.9043837</v>
      </c>
    </row>
    <row r="154" spans="1:27" x14ac:dyDescent="0.25">
      <c r="A154" s="168" t="str">
        <f t="shared" si="78"/>
        <v>United States of America</v>
      </c>
      <c r="B154" s="49" t="str">
        <f t="shared" si="78"/>
        <v/>
      </c>
      <c r="C154" s="3">
        <f>'TDS Calculations'!C37</f>
        <v>0</v>
      </c>
      <c r="D154" s="3">
        <f>'TDS Calculations'!D37</f>
        <v>0</v>
      </c>
      <c r="E154" s="3">
        <f>'TDS Calculations'!E37</f>
        <v>0</v>
      </c>
      <c r="F154" s="3">
        <f>'TDS Calculations'!F37</f>
        <v>0</v>
      </c>
      <c r="G154" s="3">
        <f>'TDS Calculations'!G37</f>
        <v>0</v>
      </c>
      <c r="H154" s="3">
        <f>'TDS Calculations'!H37</f>
        <v>0</v>
      </c>
      <c r="I154" s="3">
        <f>'TDS Calculations'!I37</f>
        <v>0</v>
      </c>
      <c r="J154" s="177">
        <f t="shared" ref="J154:M155" si="90">I154+I154*IF($B154="",$B$145,$B154)</f>
        <v>0</v>
      </c>
      <c r="K154" s="177">
        <f t="shared" si="90"/>
        <v>0</v>
      </c>
      <c r="L154" s="177">
        <f t="shared" si="90"/>
        <v>0</v>
      </c>
      <c r="M154" s="177">
        <f t="shared" si="90"/>
        <v>0</v>
      </c>
      <c r="N154" s="177">
        <f t="shared" ref="N154:AA154" si="91">M154+M154*IF($B154="",$B$145,$B154)</f>
        <v>0</v>
      </c>
      <c r="O154" s="177">
        <f t="shared" si="91"/>
        <v>0</v>
      </c>
      <c r="P154" s="177">
        <f t="shared" si="91"/>
        <v>0</v>
      </c>
      <c r="Q154" s="177">
        <f t="shared" si="91"/>
        <v>0</v>
      </c>
      <c r="R154" s="177">
        <f t="shared" si="91"/>
        <v>0</v>
      </c>
      <c r="S154" s="177">
        <f t="shared" si="91"/>
        <v>0</v>
      </c>
      <c r="T154" s="177">
        <f t="shared" si="91"/>
        <v>0</v>
      </c>
      <c r="U154" s="177">
        <f t="shared" si="91"/>
        <v>0</v>
      </c>
      <c r="V154" s="177">
        <f t="shared" si="91"/>
        <v>0</v>
      </c>
      <c r="W154" s="177">
        <f t="shared" si="91"/>
        <v>0</v>
      </c>
      <c r="X154" s="177">
        <f t="shared" si="91"/>
        <v>0</v>
      </c>
      <c r="Y154" s="177">
        <f t="shared" si="91"/>
        <v>0</v>
      </c>
      <c r="Z154" s="177">
        <f t="shared" si="91"/>
        <v>0</v>
      </c>
      <c r="AA154" s="177">
        <f t="shared" si="91"/>
        <v>0</v>
      </c>
    </row>
    <row r="155" spans="1:27" x14ac:dyDescent="0.25">
      <c r="A155" s="168">
        <f t="shared" si="78"/>
        <v>0</v>
      </c>
      <c r="B155" s="49" t="str">
        <f t="shared" si="78"/>
        <v/>
      </c>
      <c r="C155" s="3">
        <f>'TDS Calculations'!C38</f>
        <v>0</v>
      </c>
      <c r="D155" s="3">
        <f>'TDS Calculations'!D38</f>
        <v>0</v>
      </c>
      <c r="E155" s="3">
        <f>'TDS Calculations'!E38</f>
        <v>0</v>
      </c>
      <c r="F155" s="3">
        <f>'TDS Calculations'!F38</f>
        <v>0</v>
      </c>
      <c r="G155" s="3">
        <f>'TDS Calculations'!G38</f>
        <v>0</v>
      </c>
      <c r="H155" s="3">
        <f>'TDS Calculations'!H38</f>
        <v>0</v>
      </c>
      <c r="I155" s="3">
        <f>'TDS Calculations'!I38</f>
        <v>0</v>
      </c>
      <c r="J155" s="3">
        <f>'TDS Calculations'!J38</f>
        <v>0</v>
      </c>
      <c r="K155" s="3">
        <f>'TDS Calculations'!K38</f>
        <v>0</v>
      </c>
      <c r="L155" s="3">
        <f>'TDS Calculations'!L38</f>
        <v>0</v>
      </c>
      <c r="M155" s="177">
        <f t="shared" si="90"/>
        <v>0</v>
      </c>
      <c r="N155" s="177">
        <f t="shared" ref="N155:AA155" si="92">M155+M155*IF($B155="",$B$145,$B155)</f>
        <v>0</v>
      </c>
      <c r="O155" s="177">
        <f t="shared" si="92"/>
        <v>0</v>
      </c>
      <c r="P155" s="177">
        <f t="shared" si="92"/>
        <v>0</v>
      </c>
      <c r="Q155" s="177">
        <f t="shared" si="92"/>
        <v>0</v>
      </c>
      <c r="R155" s="177">
        <f t="shared" si="92"/>
        <v>0</v>
      </c>
      <c r="S155" s="177">
        <f t="shared" si="92"/>
        <v>0</v>
      </c>
      <c r="T155" s="177">
        <f t="shared" si="92"/>
        <v>0</v>
      </c>
      <c r="U155" s="177">
        <f t="shared" si="92"/>
        <v>0</v>
      </c>
      <c r="V155" s="177">
        <f t="shared" si="92"/>
        <v>0</v>
      </c>
      <c r="W155" s="177">
        <f t="shared" si="92"/>
        <v>0</v>
      </c>
      <c r="X155" s="177">
        <f t="shared" si="92"/>
        <v>0</v>
      </c>
      <c r="Y155" s="177">
        <f t="shared" si="92"/>
        <v>0</v>
      </c>
      <c r="Z155" s="177">
        <f t="shared" si="92"/>
        <v>0</v>
      </c>
      <c r="AA155" s="177">
        <f t="shared" si="92"/>
        <v>0</v>
      </c>
    </row>
    <row r="156" spans="1:27" x14ac:dyDescent="0.25">
      <c r="A156" s="168"/>
    </row>
    <row r="157" spans="1:27" x14ac:dyDescent="0.25">
      <c r="A157" s="203" t="s">
        <v>470</v>
      </c>
      <c r="B157" s="203"/>
      <c r="C157" s="203"/>
    </row>
    <row r="158" spans="1:27" x14ac:dyDescent="0.25">
      <c r="A158" t="str">
        <f>A145</f>
        <v>Member</v>
      </c>
      <c r="B158" s="49">
        <f>B145</f>
        <v>0.03</v>
      </c>
      <c r="C158" s="168">
        <f t="shared" ref="C158:AA158" si="93">C145</f>
        <v>2006</v>
      </c>
      <c r="D158" s="168">
        <f t="shared" si="93"/>
        <v>2007</v>
      </c>
      <c r="E158" s="168">
        <f t="shared" si="93"/>
        <v>2008</v>
      </c>
      <c r="F158" s="168">
        <f t="shared" si="93"/>
        <v>2009</v>
      </c>
      <c r="G158" s="168">
        <f t="shared" si="93"/>
        <v>2010</v>
      </c>
      <c r="H158" s="168">
        <f t="shared" si="93"/>
        <v>2011</v>
      </c>
      <c r="I158" s="168">
        <f t="shared" si="93"/>
        <v>2012</v>
      </c>
      <c r="J158" s="168">
        <f t="shared" si="93"/>
        <v>2013</v>
      </c>
      <c r="K158" s="168">
        <f t="shared" si="93"/>
        <v>2014</v>
      </c>
      <c r="L158" s="168">
        <f t="shared" si="93"/>
        <v>2015</v>
      </c>
      <c r="M158" s="168">
        <f t="shared" si="93"/>
        <v>2016</v>
      </c>
      <c r="N158" s="168">
        <f t="shared" si="93"/>
        <v>2017</v>
      </c>
      <c r="O158" s="168">
        <f t="shared" si="93"/>
        <v>2018</v>
      </c>
      <c r="P158" s="168">
        <f t="shared" si="93"/>
        <v>2019</v>
      </c>
      <c r="Q158" s="168">
        <f t="shared" si="93"/>
        <v>2020</v>
      </c>
      <c r="R158" s="168">
        <f t="shared" si="93"/>
        <v>2021</v>
      </c>
      <c r="S158" s="168">
        <f t="shared" si="93"/>
        <v>2022</v>
      </c>
      <c r="T158" s="168">
        <f t="shared" si="93"/>
        <v>2023</v>
      </c>
      <c r="U158" s="168">
        <f t="shared" si="93"/>
        <v>2024</v>
      </c>
      <c r="V158" s="168">
        <f t="shared" si="93"/>
        <v>2025</v>
      </c>
      <c r="W158" s="168">
        <f t="shared" si="93"/>
        <v>2026</v>
      </c>
      <c r="X158" s="168">
        <f t="shared" si="93"/>
        <v>2027</v>
      </c>
      <c r="Y158" s="168">
        <f t="shared" si="93"/>
        <v>2028</v>
      </c>
      <c r="Z158" s="168">
        <f t="shared" si="93"/>
        <v>2029</v>
      </c>
      <c r="AA158" s="168">
        <f t="shared" si="93"/>
        <v>2030</v>
      </c>
    </row>
    <row r="159" spans="1:27" x14ac:dyDescent="0.25">
      <c r="A159" s="168" t="str">
        <f t="shared" ref="A159:B168" si="94">A146</f>
        <v>Australia</v>
      </c>
      <c r="B159" s="49" t="str">
        <f t="shared" si="94"/>
        <v/>
      </c>
      <c r="C159" s="3">
        <f>'TDS Calculations'!C43</f>
        <v>0</v>
      </c>
      <c r="D159" s="3">
        <f>'TDS Calculations'!D43</f>
        <v>0</v>
      </c>
      <c r="E159" s="3">
        <f>'TDS Calculations'!E43</f>
        <v>0</v>
      </c>
      <c r="F159" s="3">
        <f>'TDS Calculations'!F43</f>
        <v>0</v>
      </c>
      <c r="G159" s="3">
        <f>'TDS Calculations'!G43</f>
        <v>0</v>
      </c>
      <c r="H159" s="3">
        <f>'TDS Calculations'!H43</f>
        <v>0</v>
      </c>
      <c r="I159" s="3">
        <f>'TDS Calculations'!I43</f>
        <v>0</v>
      </c>
      <c r="J159" s="3">
        <f>'TDS Calculations'!J43</f>
        <v>0</v>
      </c>
      <c r="K159" s="3">
        <f>'TDS Calculations'!K43</f>
        <v>0</v>
      </c>
      <c r="L159" s="177">
        <f>K159+K159*IF($B159="",$B$158,$B159)</f>
        <v>0</v>
      </c>
      <c r="M159" s="177">
        <f t="shared" ref="M159:AA159" si="95">L159+L159*IF($B159="",$B$158,$B159)</f>
        <v>0</v>
      </c>
      <c r="N159" s="177">
        <f t="shared" si="95"/>
        <v>0</v>
      </c>
      <c r="O159" s="177">
        <f t="shared" si="95"/>
        <v>0</v>
      </c>
      <c r="P159" s="177">
        <f t="shared" si="95"/>
        <v>0</v>
      </c>
      <c r="Q159" s="177">
        <f t="shared" si="95"/>
        <v>0</v>
      </c>
      <c r="R159" s="177">
        <f t="shared" si="95"/>
        <v>0</v>
      </c>
      <c r="S159" s="177">
        <f t="shared" si="95"/>
        <v>0</v>
      </c>
      <c r="T159" s="177">
        <f t="shared" si="95"/>
        <v>0</v>
      </c>
      <c r="U159" s="177">
        <f t="shared" si="95"/>
        <v>0</v>
      </c>
      <c r="V159" s="177">
        <f t="shared" si="95"/>
        <v>0</v>
      </c>
      <c r="W159" s="177">
        <f t="shared" si="95"/>
        <v>0</v>
      </c>
      <c r="X159" s="177">
        <f t="shared" si="95"/>
        <v>0</v>
      </c>
      <c r="Y159" s="177">
        <f t="shared" si="95"/>
        <v>0</v>
      </c>
      <c r="Z159" s="177">
        <f t="shared" si="95"/>
        <v>0</v>
      </c>
      <c r="AA159" s="177">
        <f t="shared" si="95"/>
        <v>0</v>
      </c>
    </row>
    <row r="160" spans="1:27" x14ac:dyDescent="0.25">
      <c r="A160" s="168" t="str">
        <f t="shared" si="94"/>
        <v>Brazil</v>
      </c>
      <c r="B160" s="49" t="str">
        <f t="shared" si="94"/>
        <v/>
      </c>
      <c r="C160" s="3">
        <f>'TDS Calculations'!C44</f>
        <v>764738900</v>
      </c>
      <c r="D160" s="3">
        <f>'TDS Calculations'!D44</f>
        <v>642928900</v>
      </c>
      <c r="E160" s="3">
        <f>'TDS Calculations'!E44</f>
        <v>900113100</v>
      </c>
      <c r="F160" s="3">
        <f>'TDS Calculations'!F44</f>
        <v>870731300</v>
      </c>
      <c r="G160" s="3">
        <f>'TDS Calculations'!G44</f>
        <v>1651046200</v>
      </c>
      <c r="H160" s="3">
        <f>'TDS Calculations'!H44</f>
        <v>1739303700</v>
      </c>
      <c r="I160" s="3">
        <f>'TDS Calculations'!I44</f>
        <v>1039741200</v>
      </c>
      <c r="J160" s="3">
        <f>'TDS Calculations'!J44</f>
        <v>1069974700</v>
      </c>
      <c r="K160" s="3">
        <f>'TDS Calculations'!K44</f>
        <v>1875293300</v>
      </c>
      <c r="L160" s="177">
        <f t="shared" ref="L160:AA160" si="96">K160+K160*IF($B160="",$B$158,$B160)</f>
        <v>1931552099</v>
      </c>
      <c r="M160" s="177">
        <f t="shared" si="96"/>
        <v>1989498661.97</v>
      </c>
      <c r="N160" s="177">
        <f t="shared" si="96"/>
        <v>2049183621.8291001</v>
      </c>
      <c r="O160" s="177">
        <f t="shared" si="96"/>
        <v>2110659130.483973</v>
      </c>
      <c r="P160" s="177">
        <f t="shared" si="96"/>
        <v>2173978904.3984923</v>
      </c>
      <c r="Q160" s="177">
        <f t="shared" si="96"/>
        <v>2239198271.530447</v>
      </c>
      <c r="R160" s="177">
        <f t="shared" si="96"/>
        <v>2306374219.6763606</v>
      </c>
      <c r="S160" s="177">
        <f t="shared" si="96"/>
        <v>2375565446.2666516</v>
      </c>
      <c r="T160" s="177">
        <f t="shared" si="96"/>
        <v>2446832409.6546512</v>
      </c>
      <c r="U160" s="177">
        <f t="shared" si="96"/>
        <v>2520237381.9442906</v>
      </c>
      <c r="V160" s="177">
        <f t="shared" si="96"/>
        <v>2595844503.4026194</v>
      </c>
      <c r="W160" s="177">
        <f t="shared" si="96"/>
        <v>2673719838.5046978</v>
      </c>
      <c r="X160" s="177">
        <f t="shared" si="96"/>
        <v>2753931433.6598387</v>
      </c>
      <c r="Y160" s="177">
        <f t="shared" si="96"/>
        <v>2836549376.6696339</v>
      </c>
      <c r="Z160" s="177">
        <f t="shared" si="96"/>
        <v>2921645857.9697227</v>
      </c>
      <c r="AA160" s="177">
        <f t="shared" si="96"/>
        <v>3009295233.7088146</v>
      </c>
    </row>
    <row r="161" spans="1:27" x14ac:dyDescent="0.25">
      <c r="A161" s="168" t="str">
        <f t="shared" si="94"/>
        <v>Canada</v>
      </c>
      <c r="B161" s="49" t="str">
        <f t="shared" si="94"/>
        <v/>
      </c>
      <c r="C161" s="3">
        <f>'TDS Calculations'!C45</f>
        <v>0</v>
      </c>
      <c r="D161" s="3">
        <f>'TDS Calculations'!D45</f>
        <v>0</v>
      </c>
      <c r="E161" s="3">
        <f>'TDS Calculations'!E45</f>
        <v>0</v>
      </c>
      <c r="F161" s="3">
        <f>'TDS Calculations'!F45</f>
        <v>0</v>
      </c>
      <c r="G161" s="3">
        <f>'TDS Calculations'!G45</f>
        <v>0</v>
      </c>
      <c r="H161" s="3">
        <f>'TDS Calculations'!H45</f>
        <v>0</v>
      </c>
      <c r="I161" s="3">
        <f>'TDS Calculations'!I45</f>
        <v>0</v>
      </c>
      <c r="J161" s="177">
        <f t="shared" ref="J161:AA161" si="97">I161+I161*IF($B161="",$B$158,$B161)</f>
        <v>0</v>
      </c>
      <c r="K161" s="177">
        <f t="shared" si="97"/>
        <v>0</v>
      </c>
      <c r="L161" s="177">
        <f t="shared" si="97"/>
        <v>0</v>
      </c>
      <c r="M161" s="177">
        <f t="shared" si="97"/>
        <v>0</v>
      </c>
      <c r="N161" s="177">
        <f t="shared" si="97"/>
        <v>0</v>
      </c>
      <c r="O161" s="177">
        <f t="shared" si="97"/>
        <v>0</v>
      </c>
      <c r="P161" s="177">
        <f t="shared" si="97"/>
        <v>0</v>
      </c>
      <c r="Q161" s="177">
        <f t="shared" si="97"/>
        <v>0</v>
      </c>
      <c r="R161" s="177">
        <f t="shared" si="97"/>
        <v>0</v>
      </c>
      <c r="S161" s="177">
        <f t="shared" si="97"/>
        <v>0</v>
      </c>
      <c r="T161" s="177">
        <f t="shared" si="97"/>
        <v>0</v>
      </c>
      <c r="U161" s="177">
        <f t="shared" si="97"/>
        <v>0</v>
      </c>
      <c r="V161" s="177">
        <f t="shared" si="97"/>
        <v>0</v>
      </c>
      <c r="W161" s="177">
        <f t="shared" si="97"/>
        <v>0</v>
      </c>
      <c r="X161" s="177">
        <f t="shared" si="97"/>
        <v>0</v>
      </c>
      <c r="Y161" s="177">
        <f t="shared" si="97"/>
        <v>0</v>
      </c>
      <c r="Z161" s="177">
        <f t="shared" si="97"/>
        <v>0</v>
      </c>
      <c r="AA161" s="177">
        <f t="shared" si="97"/>
        <v>0</v>
      </c>
    </row>
    <row r="162" spans="1:27" x14ac:dyDescent="0.25">
      <c r="A162" s="168" t="str">
        <f t="shared" si="94"/>
        <v>China</v>
      </c>
      <c r="B162" s="49" t="str">
        <f t="shared" si="94"/>
        <v/>
      </c>
      <c r="C162" s="3">
        <f>'TDS Calculations'!C46</f>
        <v>0</v>
      </c>
      <c r="D162" s="3">
        <f>'TDS Calculations'!D46</f>
        <v>0</v>
      </c>
      <c r="E162" s="3">
        <f>'TDS Calculations'!E46</f>
        <v>0</v>
      </c>
      <c r="F162" s="3">
        <f>'TDS Calculations'!F46</f>
        <v>0</v>
      </c>
      <c r="G162" s="3">
        <f>'TDS Calculations'!G46</f>
        <v>0</v>
      </c>
      <c r="H162" s="177">
        <f t="shared" ref="H162:K162" si="98">G162+G162*IF($B162="",$B$158,$B162)</f>
        <v>0</v>
      </c>
      <c r="I162" s="177">
        <f t="shared" si="98"/>
        <v>0</v>
      </c>
      <c r="J162" s="177">
        <f t="shared" si="98"/>
        <v>0</v>
      </c>
      <c r="K162" s="177">
        <f t="shared" si="98"/>
        <v>0</v>
      </c>
      <c r="L162" s="177">
        <f t="shared" ref="L162:AA162" si="99">K162+K162*IF($B162="",$B$158,$B162)</f>
        <v>0</v>
      </c>
      <c r="M162" s="177">
        <f t="shared" si="99"/>
        <v>0</v>
      </c>
      <c r="N162" s="177">
        <f t="shared" si="99"/>
        <v>0</v>
      </c>
      <c r="O162" s="177">
        <f t="shared" si="99"/>
        <v>0</v>
      </c>
      <c r="P162" s="177">
        <f t="shared" si="99"/>
        <v>0</v>
      </c>
      <c r="Q162" s="177">
        <f t="shared" si="99"/>
        <v>0</v>
      </c>
      <c r="R162" s="177">
        <f t="shared" si="99"/>
        <v>0</v>
      </c>
      <c r="S162" s="177">
        <f t="shared" si="99"/>
        <v>0</v>
      </c>
      <c r="T162" s="177">
        <f t="shared" si="99"/>
        <v>0</v>
      </c>
      <c r="U162" s="177">
        <f t="shared" si="99"/>
        <v>0</v>
      </c>
      <c r="V162" s="177">
        <f t="shared" si="99"/>
        <v>0</v>
      </c>
      <c r="W162" s="177">
        <f t="shared" si="99"/>
        <v>0</v>
      </c>
      <c r="X162" s="177">
        <f t="shared" si="99"/>
        <v>0</v>
      </c>
      <c r="Y162" s="177">
        <f t="shared" si="99"/>
        <v>0</v>
      </c>
      <c r="Z162" s="177">
        <f t="shared" si="99"/>
        <v>0</v>
      </c>
      <c r="AA162" s="177">
        <f t="shared" si="99"/>
        <v>0</v>
      </c>
    </row>
    <row r="163" spans="1:27" x14ac:dyDescent="0.25">
      <c r="A163" s="168" t="str">
        <f t="shared" si="94"/>
        <v>European Union</v>
      </c>
      <c r="B163" s="49" t="str">
        <f t="shared" si="94"/>
        <v/>
      </c>
      <c r="C163" s="3">
        <f>'TDS Calculations'!C47</f>
        <v>0</v>
      </c>
      <c r="D163" s="3">
        <f>'TDS Calculations'!D47</f>
        <v>0</v>
      </c>
      <c r="E163" s="3">
        <f>'TDS Calculations'!E47</f>
        <v>0</v>
      </c>
      <c r="F163" s="3">
        <f>'TDS Calculations'!F47</f>
        <v>0</v>
      </c>
      <c r="G163" s="3">
        <f>'TDS Calculations'!G47</f>
        <v>0</v>
      </c>
      <c r="H163" s="3">
        <f>'TDS Calculations'!H47</f>
        <v>0</v>
      </c>
      <c r="I163" s="3">
        <f>'TDS Calculations'!I47</f>
        <v>0</v>
      </c>
      <c r="J163" s="3">
        <f>'TDS Calculations'!J47</f>
        <v>0</v>
      </c>
      <c r="K163" s="3">
        <f>'TDS Calculations'!K47</f>
        <v>0</v>
      </c>
      <c r="L163" s="177">
        <f t="shared" ref="L163:AA163" si="100">K163+K163*IF($B163="",$B$158,$B163)</f>
        <v>0</v>
      </c>
      <c r="M163" s="177">
        <f t="shared" si="100"/>
        <v>0</v>
      </c>
      <c r="N163" s="177">
        <f t="shared" si="100"/>
        <v>0</v>
      </c>
      <c r="O163" s="177">
        <f t="shared" si="100"/>
        <v>0</v>
      </c>
      <c r="P163" s="177">
        <f t="shared" si="100"/>
        <v>0</v>
      </c>
      <c r="Q163" s="177">
        <f t="shared" si="100"/>
        <v>0</v>
      </c>
      <c r="R163" s="177">
        <f t="shared" si="100"/>
        <v>0</v>
      </c>
      <c r="S163" s="177">
        <f t="shared" si="100"/>
        <v>0</v>
      </c>
      <c r="T163" s="177">
        <f t="shared" si="100"/>
        <v>0</v>
      </c>
      <c r="U163" s="177">
        <f t="shared" si="100"/>
        <v>0</v>
      </c>
      <c r="V163" s="177">
        <f t="shared" si="100"/>
        <v>0</v>
      </c>
      <c r="W163" s="177">
        <f t="shared" si="100"/>
        <v>0</v>
      </c>
      <c r="X163" s="177">
        <f t="shared" si="100"/>
        <v>0</v>
      </c>
      <c r="Y163" s="177">
        <f t="shared" si="100"/>
        <v>0</v>
      </c>
      <c r="Z163" s="177">
        <f t="shared" si="100"/>
        <v>0</v>
      </c>
      <c r="AA163" s="177">
        <f t="shared" si="100"/>
        <v>0</v>
      </c>
    </row>
    <row r="164" spans="1:27" x14ac:dyDescent="0.25">
      <c r="A164" s="168" t="str">
        <f t="shared" si="94"/>
        <v>India</v>
      </c>
      <c r="B164" s="49" t="str">
        <f t="shared" si="94"/>
        <v/>
      </c>
      <c r="C164" s="3">
        <f>'TDS Calculations'!C48</f>
        <v>12316220000</v>
      </c>
      <c r="D164" s="3">
        <f>'TDS Calculations'!D48</f>
        <v>15536060000</v>
      </c>
      <c r="E164" s="3">
        <f>'TDS Calculations'!E48</f>
        <v>22311560000</v>
      </c>
      <c r="F164" s="3">
        <f>'TDS Calculations'!F48</f>
        <v>31458670000</v>
      </c>
      <c r="G164" s="3">
        <f>'TDS Calculations'!G48</f>
        <v>29857270000</v>
      </c>
      <c r="H164" s="3">
        <f>'TDS Calculations'!H48</f>
        <v>31610270000</v>
      </c>
      <c r="I164" s="177">
        <f t="shared" ref="I164:K164" si="101">H164+H164*IF($B164="",$B$158,$B164)</f>
        <v>32558578100</v>
      </c>
      <c r="J164" s="177">
        <f t="shared" si="101"/>
        <v>33535335443</v>
      </c>
      <c r="K164" s="177">
        <f t="shared" si="101"/>
        <v>34541395506.290001</v>
      </c>
      <c r="L164" s="177">
        <f t="shared" ref="L164:AA164" si="102">K164+K164*IF($B164="",$B$158,$B164)</f>
        <v>35577637371.478699</v>
      </c>
      <c r="M164" s="177">
        <f t="shared" si="102"/>
        <v>36644966492.623062</v>
      </c>
      <c r="N164" s="177">
        <f t="shared" si="102"/>
        <v>37744315487.401756</v>
      </c>
      <c r="O164" s="177">
        <f t="shared" si="102"/>
        <v>38876644952.023811</v>
      </c>
      <c r="P164" s="177">
        <f t="shared" si="102"/>
        <v>40042944300.584526</v>
      </c>
      <c r="Q164" s="177">
        <f t="shared" si="102"/>
        <v>41244232629.602058</v>
      </c>
      <c r="R164" s="177">
        <f t="shared" si="102"/>
        <v>42481559608.49012</v>
      </c>
      <c r="S164" s="177">
        <f t="shared" si="102"/>
        <v>43756006396.744827</v>
      </c>
      <c r="T164" s="177">
        <f t="shared" si="102"/>
        <v>45068686588.647171</v>
      </c>
      <c r="U164" s="177">
        <f t="shared" si="102"/>
        <v>46420747186.306587</v>
      </c>
      <c r="V164" s="177">
        <f t="shared" si="102"/>
        <v>47813369601.895782</v>
      </c>
      <c r="W164" s="177">
        <f t="shared" si="102"/>
        <v>49247770689.952652</v>
      </c>
      <c r="X164" s="177">
        <f t="shared" si="102"/>
        <v>50725203810.65123</v>
      </c>
      <c r="Y164" s="177">
        <f t="shared" si="102"/>
        <v>52246959924.970764</v>
      </c>
      <c r="Z164" s="177">
        <f t="shared" si="102"/>
        <v>53814368722.719887</v>
      </c>
      <c r="AA164" s="177">
        <f t="shared" si="102"/>
        <v>55428799784.401482</v>
      </c>
    </row>
    <row r="165" spans="1:27" x14ac:dyDescent="0.25">
      <c r="A165" s="168" t="str">
        <f t="shared" si="94"/>
        <v>Indonesia</v>
      </c>
      <c r="B165" s="49" t="str">
        <f t="shared" si="94"/>
        <v/>
      </c>
      <c r="C165" s="3">
        <f>'TDS Calculations'!C49</f>
        <v>61327282.420995735</v>
      </c>
      <c r="D165" s="3">
        <f>'TDS Calculations'!D49</f>
        <v>91284432.775407493</v>
      </c>
      <c r="E165" s="3">
        <f>'TDS Calculations'!E49</f>
        <v>196030039.29544011</v>
      </c>
      <c r="F165" s="3">
        <f>'TDS Calculations'!F49</f>
        <v>191781711.87266523</v>
      </c>
      <c r="G165" s="3">
        <f>'TDS Calculations'!G49</f>
        <v>226468851.8699145</v>
      </c>
      <c r="H165" s="3">
        <f>'TDS Calculations'!H49</f>
        <v>187447978.62515342</v>
      </c>
      <c r="I165" s="177">
        <f t="shared" ref="I165:K165" si="103">H165+H165*IF($B165="",$B$158,$B165)</f>
        <v>193071417.98390803</v>
      </c>
      <c r="J165" s="177">
        <f t="shared" si="103"/>
        <v>198863560.52342528</v>
      </c>
      <c r="K165" s="177">
        <f t="shared" si="103"/>
        <v>204829467.33912805</v>
      </c>
      <c r="L165" s="177">
        <f t="shared" ref="L165:AA165" si="104">K165+K165*IF($B165="",$B$158,$B165)</f>
        <v>210974351.35930189</v>
      </c>
      <c r="M165" s="177">
        <f t="shared" si="104"/>
        <v>217303581.90008095</v>
      </c>
      <c r="N165" s="177">
        <f t="shared" si="104"/>
        <v>223822689.35708338</v>
      </c>
      <c r="O165" s="177">
        <f t="shared" si="104"/>
        <v>230537370.03779587</v>
      </c>
      <c r="P165" s="177">
        <f t="shared" si="104"/>
        <v>237453491.13892975</v>
      </c>
      <c r="Q165" s="177">
        <f t="shared" si="104"/>
        <v>244577095.87309766</v>
      </c>
      <c r="R165" s="177">
        <f t="shared" si="104"/>
        <v>251914408.74929059</v>
      </c>
      <c r="S165" s="177">
        <f t="shared" si="104"/>
        <v>259471841.01176929</v>
      </c>
      <c r="T165" s="177">
        <f t="shared" si="104"/>
        <v>267255996.24212238</v>
      </c>
      <c r="U165" s="177">
        <f t="shared" si="104"/>
        <v>275273676.12938607</v>
      </c>
      <c r="V165" s="177">
        <f t="shared" si="104"/>
        <v>283531886.41326767</v>
      </c>
      <c r="W165" s="177">
        <f t="shared" si="104"/>
        <v>292037843.00566572</v>
      </c>
      <c r="X165" s="177">
        <f t="shared" si="104"/>
        <v>300798978.29583567</v>
      </c>
      <c r="Y165" s="177">
        <f t="shared" si="104"/>
        <v>309822947.64471072</v>
      </c>
      <c r="Z165" s="177">
        <f t="shared" si="104"/>
        <v>319117636.07405204</v>
      </c>
      <c r="AA165" s="177">
        <f t="shared" si="104"/>
        <v>328691165.1562736</v>
      </c>
    </row>
    <row r="166" spans="1:27" x14ac:dyDescent="0.25">
      <c r="A166" s="168" t="str">
        <f t="shared" si="94"/>
        <v>Japan</v>
      </c>
      <c r="B166" s="49" t="str">
        <f t="shared" si="94"/>
        <v/>
      </c>
      <c r="C166" s="3">
        <f>'TDS Calculations'!C50</f>
        <v>0</v>
      </c>
      <c r="D166" s="3">
        <f>'TDS Calculations'!D50</f>
        <v>0</v>
      </c>
      <c r="E166" s="3">
        <f>'TDS Calculations'!E50</f>
        <v>0</v>
      </c>
      <c r="F166" s="3">
        <f>'TDS Calculations'!F50</f>
        <v>0</v>
      </c>
      <c r="G166" s="3">
        <f>'TDS Calculations'!G50</f>
        <v>0</v>
      </c>
      <c r="H166" s="3">
        <f>'TDS Calculations'!H50</f>
        <v>0</v>
      </c>
      <c r="I166" s="3">
        <f>'TDS Calculations'!I50</f>
        <v>0</v>
      </c>
      <c r="J166" s="177">
        <f t="shared" ref="J166:AA166" si="105">I166+I166*IF($B166="",$B$158,$B166)</f>
        <v>0</v>
      </c>
      <c r="K166" s="177">
        <f t="shared" si="105"/>
        <v>0</v>
      </c>
      <c r="L166" s="177">
        <f t="shared" si="105"/>
        <v>0</v>
      </c>
      <c r="M166" s="177">
        <f t="shared" si="105"/>
        <v>0</v>
      </c>
      <c r="N166" s="177">
        <f t="shared" si="105"/>
        <v>0</v>
      </c>
      <c r="O166" s="177">
        <f t="shared" si="105"/>
        <v>0</v>
      </c>
      <c r="P166" s="177">
        <f t="shared" si="105"/>
        <v>0</v>
      </c>
      <c r="Q166" s="177">
        <f t="shared" si="105"/>
        <v>0</v>
      </c>
      <c r="R166" s="177">
        <f t="shared" si="105"/>
        <v>0</v>
      </c>
      <c r="S166" s="177">
        <f t="shared" si="105"/>
        <v>0</v>
      </c>
      <c r="T166" s="177">
        <f t="shared" si="105"/>
        <v>0</v>
      </c>
      <c r="U166" s="177">
        <f t="shared" si="105"/>
        <v>0</v>
      </c>
      <c r="V166" s="177">
        <f t="shared" si="105"/>
        <v>0</v>
      </c>
      <c r="W166" s="177">
        <f t="shared" si="105"/>
        <v>0</v>
      </c>
      <c r="X166" s="177">
        <f t="shared" si="105"/>
        <v>0</v>
      </c>
      <c r="Y166" s="177">
        <f t="shared" si="105"/>
        <v>0</v>
      </c>
      <c r="Z166" s="177">
        <f t="shared" si="105"/>
        <v>0</v>
      </c>
      <c r="AA166" s="177">
        <f t="shared" si="105"/>
        <v>0</v>
      </c>
    </row>
    <row r="167" spans="1:27" x14ac:dyDescent="0.25">
      <c r="A167" s="168" t="str">
        <f t="shared" si="94"/>
        <v>United States of America</v>
      </c>
      <c r="B167" s="49" t="str">
        <f t="shared" si="94"/>
        <v/>
      </c>
      <c r="C167" s="3">
        <f>'TDS Calculations'!C51</f>
        <v>0</v>
      </c>
      <c r="D167" s="3">
        <f>'TDS Calculations'!D51</f>
        <v>0</v>
      </c>
      <c r="E167" s="3">
        <f>'TDS Calculations'!E51</f>
        <v>0</v>
      </c>
      <c r="F167" s="3">
        <f>'TDS Calculations'!F51</f>
        <v>0</v>
      </c>
      <c r="G167" s="3">
        <f>'TDS Calculations'!G51</f>
        <v>0</v>
      </c>
      <c r="H167" s="3">
        <f>'TDS Calculations'!H51</f>
        <v>0</v>
      </c>
      <c r="I167" s="3">
        <f>'TDS Calculations'!I51</f>
        <v>0</v>
      </c>
      <c r="J167" s="177">
        <f t="shared" ref="J167:M168" si="106">I167+I167*IF($B167="",$B$158,$B167)</f>
        <v>0</v>
      </c>
      <c r="K167" s="177">
        <f t="shared" si="106"/>
        <v>0</v>
      </c>
      <c r="L167" s="177">
        <f t="shared" si="106"/>
        <v>0</v>
      </c>
      <c r="M167" s="177">
        <f t="shared" si="106"/>
        <v>0</v>
      </c>
      <c r="N167" s="177">
        <f t="shared" ref="N167:AA167" si="107">M167+M167*IF($B167="",$B$158,$B167)</f>
        <v>0</v>
      </c>
      <c r="O167" s="177">
        <f t="shared" si="107"/>
        <v>0</v>
      </c>
      <c r="P167" s="177">
        <f t="shared" si="107"/>
        <v>0</v>
      </c>
      <c r="Q167" s="177">
        <f t="shared" si="107"/>
        <v>0</v>
      </c>
      <c r="R167" s="177">
        <f t="shared" si="107"/>
        <v>0</v>
      </c>
      <c r="S167" s="177">
        <f t="shared" si="107"/>
        <v>0</v>
      </c>
      <c r="T167" s="177">
        <f t="shared" si="107"/>
        <v>0</v>
      </c>
      <c r="U167" s="177">
        <f t="shared" si="107"/>
        <v>0</v>
      </c>
      <c r="V167" s="177">
        <f t="shared" si="107"/>
        <v>0</v>
      </c>
      <c r="W167" s="177">
        <f t="shared" si="107"/>
        <v>0</v>
      </c>
      <c r="X167" s="177">
        <f t="shared" si="107"/>
        <v>0</v>
      </c>
      <c r="Y167" s="177">
        <f t="shared" si="107"/>
        <v>0</v>
      </c>
      <c r="Z167" s="177">
        <f t="shared" si="107"/>
        <v>0</v>
      </c>
      <c r="AA167" s="177">
        <f t="shared" si="107"/>
        <v>0</v>
      </c>
    </row>
    <row r="168" spans="1:27" x14ac:dyDescent="0.25">
      <c r="A168" s="168">
        <f t="shared" si="94"/>
        <v>0</v>
      </c>
      <c r="B168" s="49" t="str">
        <f t="shared" si="94"/>
        <v/>
      </c>
      <c r="C168" s="3">
        <f>'TDS Calculations'!C52</f>
        <v>0</v>
      </c>
      <c r="D168" s="3">
        <f>'TDS Calculations'!D52</f>
        <v>0</v>
      </c>
      <c r="E168" s="3">
        <f>'TDS Calculations'!E52</f>
        <v>0</v>
      </c>
      <c r="F168" s="3">
        <f>'TDS Calculations'!F52</f>
        <v>0</v>
      </c>
      <c r="G168" s="3">
        <f>'TDS Calculations'!G52</f>
        <v>0</v>
      </c>
      <c r="H168" s="3">
        <f>'TDS Calculations'!H52</f>
        <v>0</v>
      </c>
      <c r="I168" s="3">
        <f>'TDS Calculations'!I52</f>
        <v>0</v>
      </c>
      <c r="J168" s="3">
        <f>'TDS Calculations'!J52</f>
        <v>0</v>
      </c>
      <c r="K168" s="3">
        <f>'TDS Calculations'!K52</f>
        <v>0</v>
      </c>
      <c r="L168" s="3">
        <f>'TDS Calculations'!L52</f>
        <v>0</v>
      </c>
      <c r="M168" s="177">
        <f t="shared" si="106"/>
        <v>0</v>
      </c>
      <c r="N168" s="177">
        <f t="shared" ref="N168:AA168" si="108">M168+M168*IF($B168="",$B$158,$B168)</f>
        <v>0</v>
      </c>
      <c r="O168" s="177">
        <f t="shared" si="108"/>
        <v>0</v>
      </c>
      <c r="P168" s="177">
        <f t="shared" si="108"/>
        <v>0</v>
      </c>
      <c r="Q168" s="177">
        <f t="shared" si="108"/>
        <v>0</v>
      </c>
      <c r="R168" s="177">
        <f t="shared" si="108"/>
        <v>0</v>
      </c>
      <c r="S168" s="177">
        <f t="shared" si="108"/>
        <v>0</v>
      </c>
      <c r="T168" s="177">
        <f t="shared" si="108"/>
        <v>0</v>
      </c>
      <c r="U168" s="177">
        <f t="shared" si="108"/>
        <v>0</v>
      </c>
      <c r="V168" s="177">
        <f t="shared" si="108"/>
        <v>0</v>
      </c>
      <c r="W168" s="177">
        <f t="shared" si="108"/>
        <v>0</v>
      </c>
      <c r="X168" s="177">
        <f t="shared" si="108"/>
        <v>0</v>
      </c>
      <c r="Y168" s="177">
        <f t="shared" si="108"/>
        <v>0</v>
      </c>
      <c r="Z168" s="177">
        <f t="shared" si="108"/>
        <v>0</v>
      </c>
      <c r="AA168" s="177">
        <f t="shared" si="108"/>
        <v>0</v>
      </c>
    </row>
    <row r="170" spans="1:27" x14ac:dyDescent="0.25">
      <c r="A170" s="203" t="s">
        <v>471</v>
      </c>
      <c r="B170" s="203"/>
      <c r="C170" s="203"/>
    </row>
    <row r="171" spans="1:27" s="168" customFormat="1" x14ac:dyDescent="0.25">
      <c r="A171" s="175"/>
      <c r="B171" s="168">
        <f t="shared" ref="B171:Z171" si="109">C158</f>
        <v>2006</v>
      </c>
      <c r="C171" s="168">
        <f t="shared" si="109"/>
        <v>2007</v>
      </c>
      <c r="D171" s="168">
        <f t="shared" si="109"/>
        <v>2008</v>
      </c>
      <c r="E171" s="168">
        <f t="shared" si="109"/>
        <v>2009</v>
      </c>
      <c r="F171" s="168">
        <f t="shared" si="109"/>
        <v>2010</v>
      </c>
      <c r="G171" s="168">
        <f t="shared" si="109"/>
        <v>2011</v>
      </c>
      <c r="H171" s="168">
        <f t="shared" si="109"/>
        <v>2012</v>
      </c>
      <c r="I171" s="168">
        <f t="shared" si="109"/>
        <v>2013</v>
      </c>
      <c r="J171" s="168">
        <f t="shared" si="109"/>
        <v>2014</v>
      </c>
      <c r="K171" s="168">
        <f t="shared" si="109"/>
        <v>2015</v>
      </c>
      <c r="L171" s="168">
        <f t="shared" si="109"/>
        <v>2016</v>
      </c>
      <c r="M171" s="168">
        <f t="shared" si="109"/>
        <v>2017</v>
      </c>
      <c r="N171" s="168">
        <f t="shared" si="109"/>
        <v>2018</v>
      </c>
      <c r="O171" s="168">
        <f t="shared" si="109"/>
        <v>2019</v>
      </c>
      <c r="P171" s="168">
        <f t="shared" si="109"/>
        <v>2020</v>
      </c>
      <c r="Q171" s="168">
        <f t="shared" si="109"/>
        <v>2021</v>
      </c>
      <c r="R171" s="168">
        <f t="shared" si="109"/>
        <v>2022</v>
      </c>
      <c r="S171" s="168">
        <f t="shared" si="109"/>
        <v>2023</v>
      </c>
      <c r="T171" s="168">
        <f t="shared" si="109"/>
        <v>2024</v>
      </c>
      <c r="U171" s="168">
        <f t="shared" si="109"/>
        <v>2025</v>
      </c>
      <c r="V171" s="168">
        <f t="shared" si="109"/>
        <v>2026</v>
      </c>
      <c r="W171" s="168">
        <f t="shared" si="109"/>
        <v>2027</v>
      </c>
      <c r="X171" s="168">
        <f t="shared" si="109"/>
        <v>2028</v>
      </c>
      <c r="Y171" s="168">
        <f t="shared" si="109"/>
        <v>2029</v>
      </c>
      <c r="Z171" s="168">
        <f t="shared" si="109"/>
        <v>2030</v>
      </c>
    </row>
    <row r="172" spans="1:27" x14ac:dyDescent="0.25">
      <c r="A172" s="168" t="str">
        <f t="shared" ref="A172:A180" si="110">IF($A81,B81,B81&amp;" (Off)")</f>
        <v>Australia</v>
      </c>
      <c r="B172" s="3">
        <f t="shared" ref="B172:Z181" si="111">IF($A81,C81,"")</f>
        <v>166631144.80053294</v>
      </c>
      <c r="C172" s="3">
        <f t="shared" si="111"/>
        <v>176662877.05188915</v>
      </c>
      <c r="D172" s="3">
        <f t="shared" si="111"/>
        <v>299175747.1108681</v>
      </c>
      <c r="E172" s="3">
        <f t="shared" si="111"/>
        <v>129880559</v>
      </c>
      <c r="F172" s="3">
        <f t="shared" si="111"/>
        <v>56828394</v>
      </c>
      <c r="G172" s="3">
        <f t="shared" si="111"/>
        <v>90330986</v>
      </c>
      <c r="H172" s="3">
        <f t="shared" si="111"/>
        <v>260301069</v>
      </c>
      <c r="I172" s="3">
        <f t="shared" si="111"/>
        <v>277118433</v>
      </c>
      <c r="J172" s="3">
        <f t="shared" si="111"/>
        <v>203951985</v>
      </c>
      <c r="K172" s="3">
        <f t="shared" si="111"/>
        <v>210070544.55000001</v>
      </c>
      <c r="L172" s="3">
        <f t="shared" si="111"/>
        <v>216372660.8865</v>
      </c>
      <c r="M172" s="3">
        <f t="shared" si="111"/>
        <v>222863840.71309501</v>
      </c>
      <c r="N172" s="3">
        <f t="shared" si="111"/>
        <v>229549755.93448785</v>
      </c>
      <c r="O172" s="3">
        <f t="shared" si="111"/>
        <v>236436248.61252248</v>
      </c>
      <c r="P172" s="3">
        <f t="shared" si="111"/>
        <v>243529336.07089815</v>
      </c>
      <c r="Q172" s="3">
        <f t="shared" si="111"/>
        <v>250835216.15302509</v>
      </c>
      <c r="R172" s="3">
        <f t="shared" si="111"/>
        <v>258360272.63761583</v>
      </c>
      <c r="S172" s="3">
        <f t="shared" si="111"/>
        <v>266111080.8167443</v>
      </c>
      <c r="T172" s="3">
        <f t="shared" si="111"/>
        <v>274094413.24124664</v>
      </c>
      <c r="U172" s="3">
        <f t="shared" si="111"/>
        <v>282317245.63848406</v>
      </c>
      <c r="V172" s="3">
        <f t="shared" si="111"/>
        <v>290786763.00763857</v>
      </c>
      <c r="W172" s="3">
        <f t="shared" si="111"/>
        <v>299510365.89786774</v>
      </c>
      <c r="X172" s="3">
        <f t="shared" si="111"/>
        <v>308495676.87480378</v>
      </c>
      <c r="Y172" s="3">
        <f t="shared" si="111"/>
        <v>317750547.18104792</v>
      </c>
      <c r="Z172" s="3">
        <f t="shared" si="111"/>
        <v>327283063.59647936</v>
      </c>
    </row>
    <row r="173" spans="1:27" x14ac:dyDescent="0.25">
      <c r="A173" s="168" t="str">
        <f t="shared" si="110"/>
        <v>Brazil</v>
      </c>
      <c r="B173" s="3">
        <f t="shared" ref="B173:P173" si="112">IF($A82,C82,"")</f>
        <v>1650548500</v>
      </c>
      <c r="C173" s="3">
        <f t="shared" si="112"/>
        <v>2248036900</v>
      </c>
      <c r="D173" s="3">
        <f t="shared" si="112"/>
        <v>2737467000</v>
      </c>
      <c r="E173" s="3">
        <f t="shared" si="112"/>
        <v>2370739100</v>
      </c>
      <c r="F173" s="3">
        <f t="shared" si="112"/>
        <v>3455756300</v>
      </c>
      <c r="G173" s="3">
        <f t="shared" si="112"/>
        <v>3641927300</v>
      </c>
      <c r="H173" s="3">
        <f t="shared" si="112"/>
        <v>2608584500</v>
      </c>
      <c r="I173" s="3">
        <f t="shared" si="112"/>
        <v>2430165300</v>
      </c>
      <c r="J173" s="3">
        <f t="shared" si="112"/>
        <v>2669461700</v>
      </c>
      <c r="K173" s="3">
        <f t="shared" si="112"/>
        <v>2749545551</v>
      </c>
      <c r="L173" s="3">
        <f t="shared" si="112"/>
        <v>2832031917.5300002</v>
      </c>
      <c r="M173" s="3">
        <f t="shared" si="112"/>
        <v>2916992875.0559001</v>
      </c>
      <c r="N173" s="3">
        <f t="shared" si="112"/>
        <v>3004502661.3075771</v>
      </c>
      <c r="O173" s="3">
        <f t="shared" si="112"/>
        <v>3094637741.1468043</v>
      </c>
      <c r="P173" s="3">
        <f t="shared" si="112"/>
        <v>3187476873.3812084</v>
      </c>
      <c r="Q173" s="3">
        <f t="shared" si="111"/>
        <v>3283101179.5826445</v>
      </c>
      <c r="R173" s="3">
        <f t="shared" si="111"/>
        <v>3381594214.9701238</v>
      </c>
      <c r="S173" s="3">
        <f t="shared" si="111"/>
        <v>3483042041.4192276</v>
      </c>
      <c r="T173" s="3">
        <f t="shared" si="111"/>
        <v>3587533302.6618042</v>
      </c>
      <c r="U173" s="3">
        <f t="shared" si="111"/>
        <v>3695159301.7416582</v>
      </c>
      <c r="V173" s="3">
        <f t="shared" si="111"/>
        <v>3806014080.7939081</v>
      </c>
      <c r="W173" s="3">
        <f t="shared" si="111"/>
        <v>3920194503.2177253</v>
      </c>
      <c r="X173" s="3">
        <f t="shared" si="111"/>
        <v>4037800338.3142571</v>
      </c>
      <c r="Y173" s="3">
        <f t="shared" si="111"/>
        <v>4158934348.463685</v>
      </c>
      <c r="Z173" s="3">
        <f t="shared" si="111"/>
        <v>4283702378.9175954</v>
      </c>
    </row>
    <row r="174" spans="1:27" x14ac:dyDescent="0.25">
      <c r="A174" s="168" t="str">
        <f t="shared" si="110"/>
        <v>Canada</v>
      </c>
      <c r="B174" s="3">
        <f t="shared" si="111"/>
        <v>1939352319.2237749</v>
      </c>
      <c r="C174" s="3">
        <f t="shared" si="111"/>
        <v>2823318614.7546911</v>
      </c>
      <c r="D174" s="3">
        <f t="shared" si="111"/>
        <v>3127427100.1676054</v>
      </c>
      <c r="E174" s="3">
        <f t="shared" si="111"/>
        <v>2570150392.15413</v>
      </c>
      <c r="F174" s="3">
        <f t="shared" si="111"/>
        <v>2942072190.5485468</v>
      </c>
      <c r="G174" s="3">
        <f t="shared" si="111"/>
        <v>3016140365.1341271</v>
      </c>
      <c r="H174" s="3">
        <f t="shared" si="111"/>
        <v>2892232817.525692</v>
      </c>
      <c r="I174" s="3">
        <f t="shared" si="111"/>
        <v>2978999802.0514627</v>
      </c>
      <c r="J174" s="3">
        <f t="shared" si="111"/>
        <v>3068369796.1130066</v>
      </c>
      <c r="K174" s="3">
        <f t="shared" si="111"/>
        <v>3160420889.996397</v>
      </c>
      <c r="L174" s="3">
        <f t="shared" si="111"/>
        <v>3255233516.6962891</v>
      </c>
      <c r="M174" s="3">
        <f t="shared" si="111"/>
        <v>3352890522.1971779</v>
      </c>
      <c r="N174" s="3">
        <f t="shared" si="111"/>
        <v>3453477237.8630934</v>
      </c>
      <c r="O174" s="3">
        <f t="shared" si="111"/>
        <v>3557081554.9989862</v>
      </c>
      <c r="P174" s="3">
        <f t="shared" si="111"/>
        <v>3663794001.6489558</v>
      </c>
      <c r="Q174" s="3">
        <f t="shared" si="111"/>
        <v>3773707821.6984243</v>
      </c>
      <c r="R174" s="3">
        <f t="shared" si="111"/>
        <v>3886919056.3493772</v>
      </c>
      <c r="S174" s="3">
        <f t="shared" si="111"/>
        <v>4003526628.0398583</v>
      </c>
      <c r="T174" s="3">
        <f t="shared" si="111"/>
        <v>4123632426.8810539</v>
      </c>
      <c r="U174" s="3">
        <f t="shared" si="111"/>
        <v>4247341399.6874857</v>
      </c>
      <c r="V174" s="3">
        <f t="shared" si="111"/>
        <v>4374761641.6781101</v>
      </c>
      <c r="W174" s="3">
        <f t="shared" si="111"/>
        <v>4506004490.9284534</v>
      </c>
      <c r="X174" s="3">
        <f t="shared" si="111"/>
        <v>4641184625.6563072</v>
      </c>
      <c r="Y174" s="3">
        <f t="shared" si="111"/>
        <v>4780420164.4259968</v>
      </c>
      <c r="Z174" s="3">
        <f t="shared" si="111"/>
        <v>4923832769.358777</v>
      </c>
    </row>
    <row r="175" spans="1:27" x14ac:dyDescent="0.25">
      <c r="A175" s="168" t="str">
        <f t="shared" si="110"/>
        <v>China</v>
      </c>
      <c r="B175" s="3">
        <f t="shared" si="111"/>
        <v>2009930999</v>
      </c>
      <c r="C175" s="3">
        <f t="shared" si="111"/>
        <v>5453338325</v>
      </c>
      <c r="D175" s="3">
        <f t="shared" si="111"/>
        <v>13856225058</v>
      </c>
      <c r="E175" s="3">
        <f t="shared" si="111"/>
        <v>16418580676</v>
      </c>
      <c r="F175" s="3">
        <f t="shared" si="111"/>
        <v>18582798362</v>
      </c>
      <c r="G175" s="3">
        <f t="shared" si="111"/>
        <v>19140282312.860001</v>
      </c>
      <c r="H175" s="3">
        <f t="shared" si="111"/>
        <v>19714490782.2458</v>
      </c>
      <c r="I175" s="3">
        <f t="shared" si="111"/>
        <v>20305925505.713173</v>
      </c>
      <c r="J175" s="3">
        <f t="shared" si="111"/>
        <v>20915103270.884567</v>
      </c>
      <c r="K175" s="3">
        <f t="shared" si="111"/>
        <v>21542556369.011105</v>
      </c>
      <c r="L175" s="3">
        <f t="shared" si="111"/>
        <v>22188833060.081436</v>
      </c>
      <c r="M175" s="3">
        <f t="shared" si="111"/>
        <v>22854498051.883881</v>
      </c>
      <c r="N175" s="3">
        <f t="shared" si="111"/>
        <v>23540132993.440395</v>
      </c>
      <c r="O175" s="3">
        <f t="shared" si="111"/>
        <v>24246336983.243607</v>
      </c>
      <c r="P175" s="3">
        <f t="shared" si="111"/>
        <v>24973727092.740913</v>
      </c>
      <c r="Q175" s="3">
        <f t="shared" si="111"/>
        <v>25722938905.52314</v>
      </c>
      <c r="R175" s="3">
        <f t="shared" si="111"/>
        <v>26494627072.688835</v>
      </c>
      <c r="S175" s="3">
        <f t="shared" si="111"/>
        <v>27289465884.869499</v>
      </c>
      <c r="T175" s="3">
        <f t="shared" si="111"/>
        <v>28108149861.415585</v>
      </c>
      <c r="U175" s="3">
        <f t="shared" si="111"/>
        <v>28951394357.258053</v>
      </c>
      <c r="V175" s="3">
        <f t="shared" si="111"/>
        <v>29819936187.975796</v>
      </c>
      <c r="W175" s="3">
        <f t="shared" si="111"/>
        <v>30714534273.61507</v>
      </c>
      <c r="X175" s="3">
        <f t="shared" si="111"/>
        <v>31635970301.823521</v>
      </c>
      <c r="Y175" s="3">
        <f t="shared" si="111"/>
        <v>32585049410.878227</v>
      </c>
      <c r="Z175" s="3">
        <f t="shared" si="111"/>
        <v>33562600893.204575</v>
      </c>
    </row>
    <row r="176" spans="1:27" x14ac:dyDescent="0.25">
      <c r="A176" s="168" t="str">
        <f t="shared" si="110"/>
        <v>European Union</v>
      </c>
      <c r="B176" s="3">
        <f t="shared" si="111"/>
        <v>50130708362.370712</v>
      </c>
      <c r="C176" s="3">
        <f t="shared" si="111"/>
        <v>45810298562.338905</v>
      </c>
      <c r="D176" s="3">
        <f t="shared" si="111"/>
        <v>28460491363.558762</v>
      </c>
      <c r="E176" s="3">
        <f t="shared" si="111"/>
        <v>25010682726.061134</v>
      </c>
      <c r="F176" s="3">
        <f t="shared" si="111"/>
        <v>20306811423.411617</v>
      </c>
      <c r="G176" s="3">
        <f t="shared" si="111"/>
        <v>15107751189.974239</v>
      </c>
      <c r="H176" s="3">
        <f t="shared" si="111"/>
        <v>13772043770.318926</v>
      </c>
      <c r="I176" s="3">
        <f t="shared" si="111"/>
        <v>13668291978.479477</v>
      </c>
      <c r="J176" s="3">
        <f t="shared" si="111"/>
        <v>14078340737.83386</v>
      </c>
      <c r="K176" s="3">
        <f t="shared" si="111"/>
        <v>14500690959.968876</v>
      </c>
      <c r="L176" s="3">
        <f t="shared" si="111"/>
        <v>14935711688.767944</v>
      </c>
      <c r="M176" s="3">
        <f t="shared" si="111"/>
        <v>15383783039.430981</v>
      </c>
      <c r="N176" s="3">
        <f t="shared" si="111"/>
        <v>15845296530.613911</v>
      </c>
      <c r="O176" s="3">
        <f t="shared" si="111"/>
        <v>16320655426.53233</v>
      </c>
      <c r="P176" s="3">
        <f t="shared" si="111"/>
        <v>16810275089.3283</v>
      </c>
      <c r="Q176" s="3">
        <f t="shared" si="111"/>
        <v>17314583342.008148</v>
      </c>
      <c r="R176" s="3">
        <f t="shared" si="111"/>
        <v>17834020842.268394</v>
      </c>
      <c r="S176" s="3">
        <f t="shared" si="111"/>
        <v>18369041467.536446</v>
      </c>
      <c r="T176" s="3">
        <f t="shared" si="111"/>
        <v>18920112711.562538</v>
      </c>
      <c r="U176" s="3">
        <f t="shared" si="111"/>
        <v>19487716092.909416</v>
      </c>
      <c r="V176" s="3">
        <f t="shared" si="111"/>
        <v>20072347575.696697</v>
      </c>
      <c r="W176" s="3">
        <f t="shared" si="111"/>
        <v>20674518002.967598</v>
      </c>
      <c r="X176" s="3">
        <f t="shared" si="111"/>
        <v>21294753543.056625</v>
      </c>
      <c r="Y176" s="3">
        <f t="shared" si="111"/>
        <v>21933596149.348328</v>
      </c>
      <c r="Z176" s="3">
        <f t="shared" si="111"/>
        <v>22591604033.828777</v>
      </c>
    </row>
    <row r="177" spans="1:30" x14ac:dyDescent="0.25">
      <c r="A177" s="168" t="str">
        <f t="shared" si="110"/>
        <v>India</v>
      </c>
      <c r="B177" s="3">
        <f t="shared" si="111"/>
        <v>1790000</v>
      </c>
      <c r="C177" s="3">
        <f t="shared" si="111"/>
        <v>0</v>
      </c>
      <c r="D177" s="3">
        <f t="shared" si="111"/>
        <v>432820000</v>
      </c>
      <c r="E177" s="3">
        <f t="shared" si="111"/>
        <v>1301260000</v>
      </c>
      <c r="F177" s="3">
        <f t="shared" si="111"/>
        <v>1730480000</v>
      </c>
      <c r="G177" s="3">
        <f t="shared" si="111"/>
        <v>2282170000</v>
      </c>
      <c r="H177" s="3">
        <f t="shared" si="111"/>
        <v>2350635100</v>
      </c>
      <c r="I177" s="3">
        <f t="shared" si="111"/>
        <v>2421154153</v>
      </c>
      <c r="J177" s="3">
        <f t="shared" si="111"/>
        <v>2493788777.5900002</v>
      </c>
      <c r="K177" s="3">
        <f t="shared" si="111"/>
        <v>2568602440.9177003</v>
      </c>
      <c r="L177" s="3">
        <f t="shared" si="111"/>
        <v>2645660514.1452312</v>
      </c>
      <c r="M177" s="3">
        <f t="shared" si="111"/>
        <v>2725030329.5695882</v>
      </c>
      <c r="N177" s="3">
        <f t="shared" si="111"/>
        <v>2806781239.456676</v>
      </c>
      <c r="O177" s="3">
        <f t="shared" si="111"/>
        <v>2890984676.6403761</v>
      </c>
      <c r="P177" s="3">
        <f t="shared" si="111"/>
        <v>2977714216.9395876</v>
      </c>
      <c r="Q177" s="3">
        <f t="shared" si="111"/>
        <v>3067045643.4477754</v>
      </c>
      <c r="R177" s="3">
        <f t="shared" si="111"/>
        <v>3159057012.7512088</v>
      </c>
      <c r="S177" s="3">
        <f t="shared" si="111"/>
        <v>3253828723.1337452</v>
      </c>
      <c r="T177" s="3">
        <f t="shared" si="111"/>
        <v>3351443584.8277574</v>
      </c>
      <c r="U177" s="3">
        <f t="shared" si="111"/>
        <v>3451986892.3725901</v>
      </c>
      <c r="V177" s="3">
        <f t="shared" si="111"/>
        <v>3555546499.1437678</v>
      </c>
      <c r="W177" s="3">
        <f t="shared" si="111"/>
        <v>3662212894.1180811</v>
      </c>
      <c r="X177" s="3">
        <f t="shared" si="111"/>
        <v>3772079280.9416237</v>
      </c>
      <c r="Y177" s="3">
        <f t="shared" si="111"/>
        <v>3885241659.3698726</v>
      </c>
      <c r="Z177" s="3">
        <f t="shared" si="111"/>
        <v>4001798909.1509686</v>
      </c>
    </row>
    <row r="178" spans="1:30" x14ac:dyDescent="0.25">
      <c r="A178" s="168" t="str">
        <f t="shared" si="110"/>
        <v>Indonesia</v>
      </c>
      <c r="B178" s="3">
        <f t="shared" si="111"/>
        <v>0</v>
      </c>
      <c r="C178" s="3">
        <f t="shared" si="111"/>
        <v>0</v>
      </c>
      <c r="D178" s="3">
        <f t="shared" si="111"/>
        <v>0</v>
      </c>
      <c r="E178" s="3">
        <f t="shared" si="111"/>
        <v>0</v>
      </c>
      <c r="F178" s="3">
        <f t="shared" si="111"/>
        <v>0</v>
      </c>
      <c r="G178" s="3">
        <f t="shared" si="111"/>
        <v>0</v>
      </c>
      <c r="H178" s="3">
        <f t="shared" si="111"/>
        <v>0</v>
      </c>
      <c r="I178" s="3">
        <f t="shared" si="111"/>
        <v>0</v>
      </c>
      <c r="J178" s="3">
        <f t="shared" si="111"/>
        <v>0</v>
      </c>
      <c r="K178" s="3">
        <f t="shared" si="111"/>
        <v>0</v>
      </c>
      <c r="L178" s="3">
        <f t="shared" si="111"/>
        <v>0</v>
      </c>
      <c r="M178" s="3">
        <f t="shared" si="111"/>
        <v>0</v>
      </c>
      <c r="N178" s="3">
        <f t="shared" si="111"/>
        <v>0</v>
      </c>
      <c r="O178" s="3">
        <f t="shared" si="111"/>
        <v>0</v>
      </c>
      <c r="P178" s="3">
        <f t="shared" si="111"/>
        <v>0</v>
      </c>
      <c r="Q178" s="3">
        <f t="shared" si="111"/>
        <v>0</v>
      </c>
      <c r="R178" s="3">
        <f t="shared" si="111"/>
        <v>0</v>
      </c>
      <c r="S178" s="3">
        <f t="shared" si="111"/>
        <v>0</v>
      </c>
      <c r="T178" s="3">
        <f t="shared" si="111"/>
        <v>0</v>
      </c>
      <c r="U178" s="3">
        <f t="shared" si="111"/>
        <v>0</v>
      </c>
      <c r="V178" s="3">
        <f t="shared" si="111"/>
        <v>0</v>
      </c>
      <c r="W178" s="3">
        <f t="shared" si="111"/>
        <v>0</v>
      </c>
      <c r="X178" s="3">
        <f t="shared" si="111"/>
        <v>0</v>
      </c>
      <c r="Y178" s="3">
        <f t="shared" si="111"/>
        <v>0</v>
      </c>
      <c r="Z178" s="3">
        <f t="shared" si="111"/>
        <v>0</v>
      </c>
    </row>
    <row r="179" spans="1:30" x14ac:dyDescent="0.25">
      <c r="A179" s="168" t="str">
        <f t="shared" si="110"/>
        <v>Japan</v>
      </c>
      <c r="B179" s="3">
        <f t="shared" si="111"/>
        <v>5739896352.0922861</v>
      </c>
      <c r="C179" s="3">
        <f t="shared" si="111"/>
        <v>4568140161.8981361</v>
      </c>
      <c r="D179" s="3">
        <f t="shared" si="111"/>
        <v>6331214356.9986429</v>
      </c>
      <c r="E179" s="3">
        <f t="shared" si="111"/>
        <v>7440396417.4832811</v>
      </c>
      <c r="F179" s="3">
        <f t="shared" si="111"/>
        <v>10274319661.257708</v>
      </c>
      <c r="G179" s="3">
        <f t="shared" si="111"/>
        <v>10043463289.299847</v>
      </c>
      <c r="H179" s="3">
        <f t="shared" si="111"/>
        <v>10617130231.302521</v>
      </c>
      <c r="I179" s="3">
        <f t="shared" si="111"/>
        <v>10935644138.241596</v>
      </c>
      <c r="J179" s="3">
        <f t="shared" si="111"/>
        <v>11263713462.388845</v>
      </c>
      <c r="K179" s="3">
        <f t="shared" si="111"/>
        <v>11601624866.260511</v>
      </c>
      <c r="L179" s="3">
        <f t="shared" si="111"/>
        <v>11949673612.248325</v>
      </c>
      <c r="M179" s="3">
        <f t="shared" si="111"/>
        <v>12308163820.615776</v>
      </c>
      <c r="N179" s="3">
        <f t="shared" si="111"/>
        <v>12677408735.234249</v>
      </c>
      <c r="O179" s="3">
        <f t="shared" si="111"/>
        <v>13057730997.291277</v>
      </c>
      <c r="P179" s="3">
        <f t="shared" si="111"/>
        <v>13449462927.210014</v>
      </c>
      <c r="Q179" s="3">
        <f t="shared" si="111"/>
        <v>13852946815.026316</v>
      </c>
      <c r="R179" s="3">
        <f t="shared" si="111"/>
        <v>14268535219.477104</v>
      </c>
      <c r="S179" s="3">
        <f t="shared" si="111"/>
        <v>14696591276.061417</v>
      </c>
      <c r="T179" s="3">
        <f t="shared" si="111"/>
        <v>15137489014.34326</v>
      </c>
      <c r="U179" s="3">
        <f t="shared" si="111"/>
        <v>15591613684.773558</v>
      </c>
      <c r="V179" s="3">
        <f t="shared" si="111"/>
        <v>16059362095.316765</v>
      </c>
      <c r="W179" s="3">
        <f t="shared" si="111"/>
        <v>16541142958.176266</v>
      </c>
      <c r="X179" s="3">
        <f t="shared" si="111"/>
        <v>17037377246.921555</v>
      </c>
      <c r="Y179" s="3">
        <f t="shared" si="111"/>
        <v>17548498564.329201</v>
      </c>
      <c r="Z179" s="3">
        <f t="shared" si="111"/>
        <v>18074953521.259075</v>
      </c>
    </row>
    <row r="180" spans="1:30" x14ac:dyDescent="0.25">
      <c r="A180" s="168" t="str">
        <f t="shared" si="110"/>
        <v>United States of America</v>
      </c>
      <c r="B180" s="3">
        <f t="shared" si="111"/>
        <v>11343212000</v>
      </c>
      <c r="C180" s="3">
        <f t="shared" si="111"/>
        <v>8519584000</v>
      </c>
      <c r="D180" s="3">
        <f t="shared" si="111"/>
        <v>15636405000</v>
      </c>
      <c r="E180" s="3">
        <f t="shared" si="111"/>
        <v>12123814000</v>
      </c>
      <c r="F180" s="3">
        <f t="shared" si="111"/>
        <v>9784248000</v>
      </c>
      <c r="G180" s="3">
        <f t="shared" si="111"/>
        <v>14368353000</v>
      </c>
      <c r="H180" s="3">
        <f t="shared" si="111"/>
        <v>12135103000</v>
      </c>
      <c r="I180" s="3">
        <f t="shared" si="111"/>
        <v>12499156090</v>
      </c>
      <c r="J180" s="3">
        <f t="shared" si="111"/>
        <v>12874130772.700001</v>
      </c>
      <c r="K180" s="3">
        <f t="shared" si="111"/>
        <v>13260354695.881001</v>
      </c>
      <c r="L180" s="3">
        <f t="shared" si="111"/>
        <v>13658165336.757431</v>
      </c>
      <c r="M180" s="3">
        <f t="shared" si="111"/>
        <v>14067910296.860153</v>
      </c>
      <c r="N180" s="3">
        <f t="shared" si="111"/>
        <v>14489947605.765957</v>
      </c>
      <c r="O180" s="3">
        <f t="shared" si="111"/>
        <v>14924646033.938936</v>
      </c>
      <c r="P180" s="3">
        <f t="shared" si="111"/>
        <v>15372385414.957104</v>
      </c>
      <c r="Q180" s="3">
        <f t="shared" si="111"/>
        <v>15833556977.405817</v>
      </c>
      <c r="R180" s="3">
        <f t="shared" si="111"/>
        <v>16308563686.727991</v>
      </c>
      <c r="S180" s="3">
        <f t="shared" si="111"/>
        <v>16797820597.32983</v>
      </c>
      <c r="T180" s="3">
        <f t="shared" si="111"/>
        <v>17301755215.249725</v>
      </c>
      <c r="U180" s="3">
        <f t="shared" si="111"/>
        <v>17820807871.707218</v>
      </c>
      <c r="V180" s="3">
        <f t="shared" si="111"/>
        <v>18355432107.858437</v>
      </c>
      <c r="W180" s="3">
        <f t="shared" si="111"/>
        <v>18906095071.094189</v>
      </c>
      <c r="X180" s="3">
        <f t="shared" si="111"/>
        <v>19473277923.227013</v>
      </c>
      <c r="Y180" s="3">
        <f t="shared" si="111"/>
        <v>20057476260.923824</v>
      </c>
      <c r="Z180" s="3">
        <f t="shared" si="111"/>
        <v>20659200548.751537</v>
      </c>
    </row>
    <row r="181" spans="1:30" x14ac:dyDescent="0.25">
      <c r="A181" s="168" t="str">
        <f>IF($A90,B90,B90&amp;" (Off)")</f>
        <v>CUSTOM</v>
      </c>
      <c r="B181" s="3" t="e">
        <f t="shared" si="111"/>
        <v>#N/A</v>
      </c>
      <c r="C181" s="3" t="e">
        <f t="shared" si="111"/>
        <v>#N/A</v>
      </c>
      <c r="D181" s="3" t="e">
        <f t="shared" si="111"/>
        <v>#N/A</v>
      </c>
      <c r="E181" s="3" t="e">
        <f t="shared" si="111"/>
        <v>#N/A</v>
      </c>
      <c r="F181" s="3" t="e">
        <f t="shared" si="111"/>
        <v>#N/A</v>
      </c>
      <c r="G181" s="3" t="e">
        <f t="shared" si="111"/>
        <v>#N/A</v>
      </c>
      <c r="H181" s="3" t="e">
        <f t="shared" si="111"/>
        <v>#N/A</v>
      </c>
      <c r="I181" s="3" t="e">
        <f t="shared" si="111"/>
        <v>#N/A</v>
      </c>
      <c r="J181" s="3" t="e">
        <f t="shared" si="111"/>
        <v>#N/A</v>
      </c>
      <c r="K181" s="3" t="e">
        <f t="shared" si="111"/>
        <v>#N/A</v>
      </c>
      <c r="L181" s="3" t="e">
        <f t="shared" si="111"/>
        <v>#N/A</v>
      </c>
      <c r="M181" s="3" t="e">
        <f t="shared" si="111"/>
        <v>#N/A</v>
      </c>
      <c r="N181" s="3" t="e">
        <f t="shared" si="111"/>
        <v>#N/A</v>
      </c>
      <c r="O181" s="3" t="e">
        <f t="shared" si="111"/>
        <v>#N/A</v>
      </c>
      <c r="P181" s="3" t="e">
        <f t="shared" si="111"/>
        <v>#N/A</v>
      </c>
      <c r="Q181" s="3" t="e">
        <f t="shared" si="111"/>
        <v>#N/A</v>
      </c>
      <c r="R181" s="3" t="e">
        <f t="shared" si="111"/>
        <v>#N/A</v>
      </c>
      <c r="S181" s="3" t="e">
        <f t="shared" si="111"/>
        <v>#N/A</v>
      </c>
      <c r="T181" s="3" t="e">
        <f t="shared" si="111"/>
        <v>#N/A</v>
      </c>
      <c r="U181" s="3" t="e">
        <f t="shared" si="111"/>
        <v>#N/A</v>
      </c>
      <c r="V181" s="3" t="e">
        <f t="shared" si="111"/>
        <v>#N/A</v>
      </c>
      <c r="W181" s="3" t="e">
        <f t="shared" si="111"/>
        <v>#N/A</v>
      </c>
      <c r="X181" s="3" t="e">
        <f t="shared" si="111"/>
        <v>#N/A</v>
      </c>
      <c r="Y181" s="3" t="e">
        <f t="shared" si="111"/>
        <v>#N/A</v>
      </c>
      <c r="Z181" s="3" t="e">
        <f t="shared" si="111"/>
        <v>#N/A</v>
      </c>
    </row>
    <row r="183" spans="1:30" x14ac:dyDescent="0.25">
      <c r="A183" s="203" t="s">
        <v>479</v>
      </c>
      <c r="B183" s="203"/>
      <c r="C183" s="203"/>
    </row>
    <row r="184" spans="1:30" x14ac:dyDescent="0.25">
      <c r="B184" t="s">
        <v>480</v>
      </c>
      <c r="C184" t="s">
        <v>481</v>
      </c>
      <c r="D184" t="s">
        <v>484</v>
      </c>
      <c r="E184" t="s">
        <v>485</v>
      </c>
      <c r="F184">
        <v>2006</v>
      </c>
      <c r="G184">
        <v>2007</v>
      </c>
      <c r="H184">
        <v>2008</v>
      </c>
      <c r="I184">
        <v>2009</v>
      </c>
      <c r="J184">
        <v>2010</v>
      </c>
      <c r="K184">
        <v>2011</v>
      </c>
      <c r="L184">
        <v>2012</v>
      </c>
      <c r="M184">
        <v>2013</v>
      </c>
      <c r="N184">
        <v>2014</v>
      </c>
      <c r="O184">
        <v>2015</v>
      </c>
      <c r="P184">
        <v>2016</v>
      </c>
      <c r="Q184">
        <v>2017</v>
      </c>
      <c r="R184">
        <v>2018</v>
      </c>
      <c r="S184">
        <v>2019</v>
      </c>
      <c r="T184">
        <v>2020</v>
      </c>
      <c r="U184">
        <v>2021</v>
      </c>
      <c r="V184">
        <v>2022</v>
      </c>
      <c r="W184">
        <v>2023</v>
      </c>
      <c r="X184">
        <v>2024</v>
      </c>
      <c r="Y184">
        <v>2025</v>
      </c>
      <c r="Z184">
        <v>2026</v>
      </c>
      <c r="AA184">
        <v>2027</v>
      </c>
      <c r="AB184">
        <v>2028</v>
      </c>
      <c r="AC184">
        <v>2029</v>
      </c>
      <c r="AD184">
        <v>2030</v>
      </c>
    </row>
    <row r="185" spans="1:30" x14ac:dyDescent="0.25">
      <c r="A185" t="s">
        <v>169</v>
      </c>
      <c r="B185">
        <f>VALUE(OTDS!K8)</f>
        <v>2006</v>
      </c>
      <c r="C185" s="168">
        <f>VALUE(OTDS!L8)</f>
        <v>2030</v>
      </c>
      <c r="D185" t="e">
        <f>VALUE(IF(RIGHT(OTDS!L7,1)="%",OTDS!L7,OTDS!L7/100))</f>
        <v>#VALUE!</v>
      </c>
      <c r="E185" s="168" t="str">
        <f>OTDS!L6</f>
        <v>Once</v>
      </c>
      <c r="F185" s="168" t="e">
        <f>VLOOKUP($E185,$A$203:$Z$208,F184-2004,FALSE)</f>
        <v>#VALUE!</v>
      </c>
      <c r="G185" s="168" t="e">
        <f t="shared" ref="G185:AD185" si="113">VLOOKUP($E185,$A$203:$Z$208,G184-2004,FALSE)</f>
        <v>#VALUE!</v>
      </c>
      <c r="H185" s="168" t="e">
        <f t="shared" si="113"/>
        <v>#VALUE!</v>
      </c>
      <c r="I185" s="168" t="e">
        <f t="shared" si="113"/>
        <v>#VALUE!</v>
      </c>
      <c r="J185" s="168" t="e">
        <f t="shared" si="113"/>
        <v>#VALUE!</v>
      </c>
      <c r="K185" s="168" t="e">
        <f t="shared" si="113"/>
        <v>#VALUE!</v>
      </c>
      <c r="L185" s="168" t="e">
        <f t="shared" si="113"/>
        <v>#VALUE!</v>
      </c>
      <c r="M185" s="168" t="e">
        <f t="shared" si="113"/>
        <v>#VALUE!</v>
      </c>
      <c r="N185" s="168" t="e">
        <f t="shared" si="113"/>
        <v>#VALUE!</v>
      </c>
      <c r="O185" s="168" t="e">
        <f t="shared" si="113"/>
        <v>#VALUE!</v>
      </c>
      <c r="P185" s="168" t="e">
        <f t="shared" si="113"/>
        <v>#VALUE!</v>
      </c>
      <c r="Q185" s="168" t="e">
        <f t="shared" si="113"/>
        <v>#VALUE!</v>
      </c>
      <c r="R185" s="168" t="e">
        <f t="shared" si="113"/>
        <v>#VALUE!</v>
      </c>
      <c r="S185" s="168" t="e">
        <f t="shared" si="113"/>
        <v>#VALUE!</v>
      </c>
      <c r="T185" s="168" t="e">
        <f t="shared" si="113"/>
        <v>#VALUE!</v>
      </c>
      <c r="U185" s="168" t="e">
        <f t="shared" si="113"/>
        <v>#VALUE!</v>
      </c>
      <c r="V185" s="168" t="e">
        <f t="shared" si="113"/>
        <v>#VALUE!</v>
      </c>
      <c r="W185" s="168" t="e">
        <f t="shared" si="113"/>
        <v>#VALUE!</v>
      </c>
      <c r="X185" s="168" t="e">
        <f t="shared" si="113"/>
        <v>#VALUE!</v>
      </c>
      <c r="Y185" s="168" t="e">
        <f t="shared" si="113"/>
        <v>#VALUE!</v>
      </c>
      <c r="Z185" s="168" t="e">
        <f t="shared" si="113"/>
        <v>#VALUE!</v>
      </c>
      <c r="AA185" s="168" t="e">
        <f t="shared" si="113"/>
        <v>#VALUE!</v>
      </c>
      <c r="AB185" s="168" t="e">
        <f t="shared" si="113"/>
        <v>#VALUE!</v>
      </c>
      <c r="AC185" s="168" t="e">
        <f t="shared" si="113"/>
        <v>#VALUE!</v>
      </c>
      <c r="AD185" s="168" t="e">
        <f t="shared" si="113"/>
        <v>#VALUE!</v>
      </c>
    </row>
    <row r="186" spans="1:30" x14ac:dyDescent="0.25">
      <c r="A186" t="s">
        <v>170</v>
      </c>
      <c r="B186" s="168">
        <f>VALUE(OTDS!K15)</f>
        <v>2006</v>
      </c>
      <c r="C186" s="168">
        <f>VALUE(OTDS!L15)</f>
        <v>2030</v>
      </c>
      <c r="D186" s="168" t="e">
        <f>VALUE(IF(RIGHT(OTDS!L14,1)="%",OTDS!L14,OTDS!L14/100))</f>
        <v>#VALUE!</v>
      </c>
      <c r="E186" s="168" t="str">
        <f>OTDS!L13</f>
        <v>Once</v>
      </c>
    </row>
    <row r="188" spans="1:30" x14ac:dyDescent="0.25">
      <c r="A188" s="203" t="s">
        <v>486</v>
      </c>
      <c r="B188" s="203"/>
      <c r="C188" s="203"/>
    </row>
    <row r="189" spans="1:30" x14ac:dyDescent="0.25">
      <c r="A189" s="168" t="s">
        <v>474</v>
      </c>
      <c r="B189">
        <f>B185</f>
        <v>2006</v>
      </c>
    </row>
    <row r="190" spans="1:30" x14ac:dyDescent="0.25">
      <c r="A190" s="168" t="s">
        <v>475</v>
      </c>
      <c r="B190">
        <f>$B$185</f>
        <v>2006</v>
      </c>
      <c r="C190">
        <f>IF((B190+1)&gt;$C$185,B190,B190+1)</f>
        <v>2007</v>
      </c>
      <c r="D190" s="168">
        <f t="shared" ref="D190:AD190" si="114">IF((C190+1)&gt;$C$185,C190,C190+1)</f>
        <v>2008</v>
      </c>
      <c r="E190" s="168">
        <f t="shared" si="114"/>
        <v>2009</v>
      </c>
      <c r="F190" s="168">
        <f t="shared" si="114"/>
        <v>2010</v>
      </c>
      <c r="G190" s="168">
        <f t="shared" si="114"/>
        <v>2011</v>
      </c>
      <c r="H190" s="168">
        <f t="shared" si="114"/>
        <v>2012</v>
      </c>
      <c r="I190" s="168">
        <f t="shared" si="114"/>
        <v>2013</v>
      </c>
      <c r="J190" s="168">
        <f t="shared" si="114"/>
        <v>2014</v>
      </c>
      <c r="K190" s="168">
        <f t="shared" si="114"/>
        <v>2015</v>
      </c>
      <c r="L190" s="168">
        <f t="shared" si="114"/>
        <v>2016</v>
      </c>
      <c r="M190" s="168">
        <f t="shared" si="114"/>
        <v>2017</v>
      </c>
      <c r="N190" s="168">
        <f t="shared" si="114"/>
        <v>2018</v>
      </c>
      <c r="O190" s="168">
        <f t="shared" si="114"/>
        <v>2019</v>
      </c>
      <c r="P190" s="168">
        <f t="shared" si="114"/>
        <v>2020</v>
      </c>
      <c r="Q190" s="168">
        <f t="shared" si="114"/>
        <v>2021</v>
      </c>
      <c r="R190" s="168">
        <f t="shared" si="114"/>
        <v>2022</v>
      </c>
      <c r="S190" s="168">
        <f t="shared" si="114"/>
        <v>2023</v>
      </c>
      <c r="T190" s="168">
        <f t="shared" si="114"/>
        <v>2024</v>
      </c>
      <c r="U190" s="168">
        <f t="shared" si="114"/>
        <v>2025</v>
      </c>
      <c r="V190" s="168">
        <f t="shared" si="114"/>
        <v>2026</v>
      </c>
      <c r="W190" s="168">
        <f t="shared" si="114"/>
        <v>2027</v>
      </c>
      <c r="X190" s="168">
        <f t="shared" si="114"/>
        <v>2028</v>
      </c>
      <c r="Y190" s="168">
        <f t="shared" si="114"/>
        <v>2029</v>
      </c>
      <c r="Z190" s="168">
        <f t="shared" si="114"/>
        <v>2030</v>
      </c>
      <c r="AA190" s="168">
        <f t="shared" si="114"/>
        <v>2030</v>
      </c>
      <c r="AB190" s="168">
        <f t="shared" si="114"/>
        <v>2030</v>
      </c>
      <c r="AC190" s="168">
        <f t="shared" si="114"/>
        <v>2030</v>
      </c>
      <c r="AD190" s="168">
        <f t="shared" si="114"/>
        <v>2030</v>
      </c>
    </row>
    <row r="191" spans="1:30" x14ac:dyDescent="0.25">
      <c r="A191" s="168" t="s">
        <v>477</v>
      </c>
      <c r="B191" s="168">
        <f t="shared" ref="B191:B193" si="115">$B$185</f>
        <v>2006</v>
      </c>
      <c r="C191" s="168">
        <f>IF((B191+2)&gt;$C$185,B191,B191+2)</f>
        <v>2008</v>
      </c>
      <c r="D191" s="168">
        <f t="shared" ref="D191:AD191" si="116">IF((C191+2)&gt;$C$185,C191,C191+2)</f>
        <v>2010</v>
      </c>
      <c r="E191" s="168">
        <f t="shared" si="116"/>
        <v>2012</v>
      </c>
      <c r="F191" s="168">
        <f t="shared" si="116"/>
        <v>2014</v>
      </c>
      <c r="G191" s="168">
        <f t="shared" si="116"/>
        <v>2016</v>
      </c>
      <c r="H191" s="168">
        <f t="shared" si="116"/>
        <v>2018</v>
      </c>
      <c r="I191" s="168">
        <f t="shared" si="116"/>
        <v>2020</v>
      </c>
      <c r="J191" s="168">
        <f t="shared" si="116"/>
        <v>2022</v>
      </c>
      <c r="K191" s="168">
        <f t="shared" si="116"/>
        <v>2024</v>
      </c>
      <c r="L191" s="168">
        <f t="shared" si="116"/>
        <v>2026</v>
      </c>
      <c r="M191" s="168">
        <f t="shared" si="116"/>
        <v>2028</v>
      </c>
      <c r="N191" s="168">
        <f t="shared" si="116"/>
        <v>2030</v>
      </c>
      <c r="O191" s="168">
        <f t="shared" si="116"/>
        <v>2030</v>
      </c>
      <c r="P191" s="168">
        <f t="shared" si="116"/>
        <v>2030</v>
      </c>
      <c r="Q191" s="168">
        <f t="shared" si="116"/>
        <v>2030</v>
      </c>
      <c r="R191" s="168">
        <f t="shared" si="116"/>
        <v>2030</v>
      </c>
      <c r="S191" s="168">
        <f t="shared" si="116"/>
        <v>2030</v>
      </c>
      <c r="T191" s="168">
        <f t="shared" si="116"/>
        <v>2030</v>
      </c>
      <c r="U191" s="168">
        <f t="shared" si="116"/>
        <v>2030</v>
      </c>
      <c r="V191" s="168">
        <f t="shared" si="116"/>
        <v>2030</v>
      </c>
      <c r="W191" s="168">
        <f t="shared" si="116"/>
        <v>2030</v>
      </c>
      <c r="X191" s="168">
        <f t="shared" si="116"/>
        <v>2030</v>
      </c>
      <c r="Y191" s="168">
        <f t="shared" si="116"/>
        <v>2030</v>
      </c>
      <c r="Z191" s="168">
        <f t="shared" si="116"/>
        <v>2030</v>
      </c>
      <c r="AA191" s="168">
        <f t="shared" si="116"/>
        <v>2030</v>
      </c>
      <c r="AB191" s="168">
        <f t="shared" si="116"/>
        <v>2030</v>
      </c>
      <c r="AC191" s="168">
        <f t="shared" si="116"/>
        <v>2030</v>
      </c>
      <c r="AD191" s="168">
        <f t="shared" si="116"/>
        <v>2030</v>
      </c>
    </row>
    <row r="192" spans="1:30" x14ac:dyDescent="0.25">
      <c r="A192" s="168" t="s">
        <v>476</v>
      </c>
      <c r="B192" s="168">
        <f t="shared" si="115"/>
        <v>2006</v>
      </c>
      <c r="C192" s="168">
        <f>IF((B192+3)&gt;$C$185,B192,B192+3)</f>
        <v>2009</v>
      </c>
      <c r="D192" s="168">
        <f t="shared" ref="D192:AD192" si="117">IF((C192+3)&gt;$C$185,C192,C192+3)</f>
        <v>2012</v>
      </c>
      <c r="E192" s="168">
        <f t="shared" si="117"/>
        <v>2015</v>
      </c>
      <c r="F192" s="168">
        <f t="shared" si="117"/>
        <v>2018</v>
      </c>
      <c r="G192" s="168">
        <f t="shared" si="117"/>
        <v>2021</v>
      </c>
      <c r="H192" s="168">
        <f t="shared" si="117"/>
        <v>2024</v>
      </c>
      <c r="I192" s="168">
        <f t="shared" si="117"/>
        <v>2027</v>
      </c>
      <c r="J192" s="168">
        <f t="shared" si="117"/>
        <v>2030</v>
      </c>
      <c r="K192" s="168">
        <f t="shared" si="117"/>
        <v>2030</v>
      </c>
      <c r="L192" s="168">
        <f t="shared" si="117"/>
        <v>2030</v>
      </c>
      <c r="M192" s="168">
        <f t="shared" si="117"/>
        <v>2030</v>
      </c>
      <c r="N192" s="168">
        <f t="shared" si="117"/>
        <v>2030</v>
      </c>
      <c r="O192" s="168">
        <f t="shared" si="117"/>
        <v>2030</v>
      </c>
      <c r="P192" s="168">
        <f t="shared" si="117"/>
        <v>2030</v>
      </c>
      <c r="Q192" s="168">
        <f t="shared" si="117"/>
        <v>2030</v>
      </c>
      <c r="R192" s="168">
        <f t="shared" si="117"/>
        <v>2030</v>
      </c>
      <c r="S192" s="168">
        <f t="shared" si="117"/>
        <v>2030</v>
      </c>
      <c r="T192" s="168">
        <f t="shared" si="117"/>
        <v>2030</v>
      </c>
      <c r="U192" s="168">
        <f t="shared" si="117"/>
        <v>2030</v>
      </c>
      <c r="V192" s="168">
        <f t="shared" si="117"/>
        <v>2030</v>
      </c>
      <c r="W192" s="168">
        <f t="shared" si="117"/>
        <v>2030</v>
      </c>
      <c r="X192" s="168">
        <f t="shared" si="117"/>
        <v>2030</v>
      </c>
      <c r="Y192" s="168">
        <f t="shared" si="117"/>
        <v>2030</v>
      </c>
      <c r="Z192" s="168">
        <f t="shared" si="117"/>
        <v>2030</v>
      </c>
      <c r="AA192" s="168">
        <f t="shared" si="117"/>
        <v>2030</v>
      </c>
      <c r="AB192" s="168">
        <f t="shared" si="117"/>
        <v>2030</v>
      </c>
      <c r="AC192" s="168">
        <f t="shared" si="117"/>
        <v>2030</v>
      </c>
      <c r="AD192" s="168">
        <f t="shared" si="117"/>
        <v>2030</v>
      </c>
    </row>
    <row r="193" spans="1:30" x14ac:dyDescent="0.25">
      <c r="A193" s="168" t="s">
        <v>482</v>
      </c>
      <c r="B193" s="168">
        <f t="shared" si="115"/>
        <v>2006</v>
      </c>
      <c r="C193" s="168">
        <f>IF((B193+5)&gt;$C$185,B193,B193+5)</f>
        <v>2011</v>
      </c>
      <c r="D193" s="168">
        <f t="shared" ref="D193:AD193" si="118">IF((C193+5)&gt;$C$185,C193,C193+5)</f>
        <v>2016</v>
      </c>
      <c r="E193" s="168">
        <f t="shared" si="118"/>
        <v>2021</v>
      </c>
      <c r="F193" s="168">
        <f t="shared" si="118"/>
        <v>2026</v>
      </c>
      <c r="G193" s="168">
        <f t="shared" si="118"/>
        <v>2026</v>
      </c>
      <c r="H193" s="168">
        <f t="shared" si="118"/>
        <v>2026</v>
      </c>
      <c r="I193" s="168">
        <f t="shared" si="118"/>
        <v>2026</v>
      </c>
      <c r="J193" s="168">
        <f t="shared" si="118"/>
        <v>2026</v>
      </c>
      <c r="K193" s="168">
        <f t="shared" si="118"/>
        <v>2026</v>
      </c>
      <c r="L193" s="168">
        <f t="shared" si="118"/>
        <v>2026</v>
      </c>
      <c r="M193" s="168">
        <f t="shared" si="118"/>
        <v>2026</v>
      </c>
      <c r="N193" s="168">
        <f t="shared" si="118"/>
        <v>2026</v>
      </c>
      <c r="O193" s="168">
        <f t="shared" si="118"/>
        <v>2026</v>
      </c>
      <c r="P193" s="168">
        <f t="shared" si="118"/>
        <v>2026</v>
      </c>
      <c r="Q193" s="168">
        <f t="shared" si="118"/>
        <v>2026</v>
      </c>
      <c r="R193" s="168">
        <f t="shared" si="118"/>
        <v>2026</v>
      </c>
      <c r="S193" s="168">
        <f t="shared" si="118"/>
        <v>2026</v>
      </c>
      <c r="T193" s="168">
        <f t="shared" si="118"/>
        <v>2026</v>
      </c>
      <c r="U193" s="168">
        <f t="shared" si="118"/>
        <v>2026</v>
      </c>
      <c r="V193" s="168">
        <f t="shared" si="118"/>
        <v>2026</v>
      </c>
      <c r="W193" s="168">
        <f t="shared" si="118"/>
        <v>2026</v>
      </c>
      <c r="X193" s="168">
        <f t="shared" si="118"/>
        <v>2026</v>
      </c>
      <c r="Y193" s="168">
        <f t="shared" si="118"/>
        <v>2026</v>
      </c>
      <c r="Z193" s="168">
        <f t="shared" si="118"/>
        <v>2026</v>
      </c>
      <c r="AA193" s="168">
        <f t="shared" si="118"/>
        <v>2026</v>
      </c>
      <c r="AB193" s="168">
        <f t="shared" si="118"/>
        <v>2026</v>
      </c>
      <c r="AC193" s="168">
        <f t="shared" si="118"/>
        <v>2026</v>
      </c>
      <c r="AD193" s="168">
        <f t="shared" si="118"/>
        <v>2026</v>
      </c>
    </row>
    <row r="194" spans="1:30" s="168" customFormat="1" x14ac:dyDescent="0.25"/>
    <row r="195" spans="1:30" s="168" customFormat="1" x14ac:dyDescent="0.25">
      <c r="A195" s="203" t="s">
        <v>487</v>
      </c>
      <c r="B195" s="203"/>
      <c r="C195" s="203"/>
    </row>
    <row r="196" spans="1:30" s="168" customFormat="1" x14ac:dyDescent="0.25">
      <c r="A196" s="168" t="s">
        <v>474</v>
      </c>
      <c r="B196" s="168">
        <f>$B$186</f>
        <v>2006</v>
      </c>
    </row>
    <row r="197" spans="1:30" s="168" customFormat="1" x14ac:dyDescent="0.25">
      <c r="A197" s="168" t="s">
        <v>475</v>
      </c>
      <c r="B197" s="168">
        <f t="shared" ref="B197:B200" si="119">$B$186</f>
        <v>2006</v>
      </c>
      <c r="C197" s="168">
        <f>IF((B197+1)&gt;$C$186,B197,B197+1)</f>
        <v>2007</v>
      </c>
      <c r="D197" s="168">
        <f t="shared" ref="D197:AD197" si="120">IF((C197+1)&gt;$C$186,C197,C197+1)</f>
        <v>2008</v>
      </c>
      <c r="E197" s="168">
        <f t="shared" si="120"/>
        <v>2009</v>
      </c>
      <c r="F197" s="168">
        <f t="shared" si="120"/>
        <v>2010</v>
      </c>
      <c r="G197" s="168">
        <f t="shared" si="120"/>
        <v>2011</v>
      </c>
      <c r="H197" s="168">
        <f t="shared" si="120"/>
        <v>2012</v>
      </c>
      <c r="I197" s="168">
        <f t="shared" si="120"/>
        <v>2013</v>
      </c>
      <c r="J197" s="168">
        <f t="shared" si="120"/>
        <v>2014</v>
      </c>
      <c r="K197" s="168">
        <f t="shared" si="120"/>
        <v>2015</v>
      </c>
      <c r="L197" s="168">
        <f t="shared" si="120"/>
        <v>2016</v>
      </c>
      <c r="M197" s="168">
        <f t="shared" si="120"/>
        <v>2017</v>
      </c>
      <c r="N197" s="168">
        <f t="shared" si="120"/>
        <v>2018</v>
      </c>
      <c r="O197" s="168">
        <f t="shared" si="120"/>
        <v>2019</v>
      </c>
      <c r="P197" s="168">
        <f t="shared" si="120"/>
        <v>2020</v>
      </c>
      <c r="Q197" s="168">
        <f t="shared" si="120"/>
        <v>2021</v>
      </c>
      <c r="R197" s="168">
        <f t="shared" si="120"/>
        <v>2022</v>
      </c>
      <c r="S197" s="168">
        <f t="shared" si="120"/>
        <v>2023</v>
      </c>
      <c r="T197" s="168">
        <f t="shared" si="120"/>
        <v>2024</v>
      </c>
      <c r="U197" s="168">
        <f t="shared" si="120"/>
        <v>2025</v>
      </c>
      <c r="V197" s="168">
        <f t="shared" si="120"/>
        <v>2026</v>
      </c>
      <c r="W197" s="168">
        <f t="shared" si="120"/>
        <v>2027</v>
      </c>
      <c r="X197" s="168">
        <f t="shared" si="120"/>
        <v>2028</v>
      </c>
      <c r="Y197" s="168">
        <f t="shared" si="120"/>
        <v>2029</v>
      </c>
      <c r="Z197" s="168">
        <f t="shared" si="120"/>
        <v>2030</v>
      </c>
      <c r="AA197" s="168">
        <f t="shared" si="120"/>
        <v>2030</v>
      </c>
      <c r="AB197" s="168">
        <f t="shared" si="120"/>
        <v>2030</v>
      </c>
      <c r="AC197" s="168">
        <f t="shared" si="120"/>
        <v>2030</v>
      </c>
      <c r="AD197" s="168">
        <f t="shared" si="120"/>
        <v>2030</v>
      </c>
    </row>
    <row r="198" spans="1:30" s="168" customFormat="1" x14ac:dyDescent="0.25">
      <c r="A198" s="168" t="s">
        <v>477</v>
      </c>
      <c r="B198" s="168">
        <f t="shared" si="119"/>
        <v>2006</v>
      </c>
      <c r="C198" s="168">
        <f>IF((B198+2)&gt;$C$186,B198,B198+2)</f>
        <v>2008</v>
      </c>
      <c r="D198" s="168">
        <f t="shared" ref="D198:AD198" si="121">IF((C198+2)&gt;$C$186,C198,C198+2)</f>
        <v>2010</v>
      </c>
      <c r="E198" s="168">
        <f t="shared" si="121"/>
        <v>2012</v>
      </c>
      <c r="F198" s="168">
        <f t="shared" si="121"/>
        <v>2014</v>
      </c>
      <c r="G198" s="168">
        <f t="shared" si="121"/>
        <v>2016</v>
      </c>
      <c r="H198" s="168">
        <f t="shared" si="121"/>
        <v>2018</v>
      </c>
      <c r="I198" s="168">
        <f t="shared" si="121"/>
        <v>2020</v>
      </c>
      <c r="J198" s="168">
        <f t="shared" si="121"/>
        <v>2022</v>
      </c>
      <c r="K198" s="168">
        <f t="shared" si="121"/>
        <v>2024</v>
      </c>
      <c r="L198" s="168">
        <f t="shared" si="121"/>
        <v>2026</v>
      </c>
      <c r="M198" s="168">
        <f t="shared" si="121"/>
        <v>2028</v>
      </c>
      <c r="N198" s="168">
        <f t="shared" si="121"/>
        <v>2030</v>
      </c>
      <c r="O198" s="168">
        <f t="shared" si="121"/>
        <v>2030</v>
      </c>
      <c r="P198" s="168">
        <f t="shared" si="121"/>
        <v>2030</v>
      </c>
      <c r="Q198" s="168">
        <f t="shared" si="121"/>
        <v>2030</v>
      </c>
      <c r="R198" s="168">
        <f t="shared" si="121"/>
        <v>2030</v>
      </c>
      <c r="S198" s="168">
        <f t="shared" si="121"/>
        <v>2030</v>
      </c>
      <c r="T198" s="168">
        <f t="shared" si="121"/>
        <v>2030</v>
      </c>
      <c r="U198" s="168">
        <f t="shared" si="121"/>
        <v>2030</v>
      </c>
      <c r="V198" s="168">
        <f t="shared" si="121"/>
        <v>2030</v>
      </c>
      <c r="W198" s="168">
        <f t="shared" si="121"/>
        <v>2030</v>
      </c>
      <c r="X198" s="168">
        <f t="shared" si="121"/>
        <v>2030</v>
      </c>
      <c r="Y198" s="168">
        <f t="shared" si="121"/>
        <v>2030</v>
      </c>
      <c r="Z198" s="168">
        <f t="shared" si="121"/>
        <v>2030</v>
      </c>
      <c r="AA198" s="168">
        <f t="shared" si="121"/>
        <v>2030</v>
      </c>
      <c r="AB198" s="168">
        <f t="shared" si="121"/>
        <v>2030</v>
      </c>
      <c r="AC198" s="168">
        <f t="shared" si="121"/>
        <v>2030</v>
      </c>
      <c r="AD198" s="168">
        <f t="shared" si="121"/>
        <v>2030</v>
      </c>
    </row>
    <row r="199" spans="1:30" s="168" customFormat="1" x14ac:dyDescent="0.25">
      <c r="A199" s="168" t="s">
        <v>476</v>
      </c>
      <c r="B199" s="168">
        <f t="shared" si="119"/>
        <v>2006</v>
      </c>
      <c r="C199" s="168">
        <f>IF((B199+3)&gt;$C$186,B199,B199+3)</f>
        <v>2009</v>
      </c>
      <c r="D199" s="168">
        <f t="shared" ref="D199:AD199" si="122">IF((C199+3)&gt;$C$186,C199,C199+3)</f>
        <v>2012</v>
      </c>
      <c r="E199" s="168">
        <f t="shared" si="122"/>
        <v>2015</v>
      </c>
      <c r="F199" s="168">
        <f t="shared" si="122"/>
        <v>2018</v>
      </c>
      <c r="G199" s="168">
        <f t="shared" si="122"/>
        <v>2021</v>
      </c>
      <c r="H199" s="168">
        <f t="shared" si="122"/>
        <v>2024</v>
      </c>
      <c r="I199" s="168">
        <f t="shared" si="122"/>
        <v>2027</v>
      </c>
      <c r="J199" s="168">
        <f t="shared" si="122"/>
        <v>2030</v>
      </c>
      <c r="K199" s="168">
        <f t="shared" si="122"/>
        <v>2030</v>
      </c>
      <c r="L199" s="168">
        <f t="shared" si="122"/>
        <v>2030</v>
      </c>
      <c r="M199" s="168">
        <f t="shared" si="122"/>
        <v>2030</v>
      </c>
      <c r="N199" s="168">
        <f t="shared" si="122"/>
        <v>2030</v>
      </c>
      <c r="O199" s="168">
        <f t="shared" si="122"/>
        <v>2030</v>
      </c>
      <c r="P199" s="168">
        <f t="shared" si="122"/>
        <v>2030</v>
      </c>
      <c r="Q199" s="168">
        <f t="shared" si="122"/>
        <v>2030</v>
      </c>
      <c r="R199" s="168">
        <f t="shared" si="122"/>
        <v>2030</v>
      </c>
      <c r="S199" s="168">
        <f t="shared" si="122"/>
        <v>2030</v>
      </c>
      <c r="T199" s="168">
        <f t="shared" si="122"/>
        <v>2030</v>
      </c>
      <c r="U199" s="168">
        <f t="shared" si="122"/>
        <v>2030</v>
      </c>
      <c r="V199" s="168">
        <f t="shared" si="122"/>
        <v>2030</v>
      </c>
      <c r="W199" s="168">
        <f t="shared" si="122"/>
        <v>2030</v>
      </c>
      <c r="X199" s="168">
        <f t="shared" si="122"/>
        <v>2030</v>
      </c>
      <c r="Y199" s="168">
        <f t="shared" si="122"/>
        <v>2030</v>
      </c>
      <c r="Z199" s="168">
        <f t="shared" si="122"/>
        <v>2030</v>
      </c>
      <c r="AA199" s="168">
        <f t="shared" si="122"/>
        <v>2030</v>
      </c>
      <c r="AB199" s="168">
        <f t="shared" si="122"/>
        <v>2030</v>
      </c>
      <c r="AC199" s="168">
        <f t="shared" si="122"/>
        <v>2030</v>
      </c>
      <c r="AD199" s="168">
        <f t="shared" si="122"/>
        <v>2030</v>
      </c>
    </row>
    <row r="200" spans="1:30" s="168" customFormat="1" x14ac:dyDescent="0.25">
      <c r="A200" s="168" t="s">
        <v>482</v>
      </c>
      <c r="B200" s="168">
        <f t="shared" si="119"/>
        <v>2006</v>
      </c>
      <c r="C200" s="168">
        <f>IF((B200+5)&gt;$C$186,B200,B200+5)</f>
        <v>2011</v>
      </c>
      <c r="D200" s="168">
        <f t="shared" ref="D200:AD200" si="123">IF((C200+5)&gt;$C$186,C200,C200+5)</f>
        <v>2016</v>
      </c>
      <c r="E200" s="168">
        <f t="shared" si="123"/>
        <v>2021</v>
      </c>
      <c r="F200" s="168">
        <f t="shared" si="123"/>
        <v>2026</v>
      </c>
      <c r="G200" s="168">
        <f t="shared" si="123"/>
        <v>2026</v>
      </c>
      <c r="H200" s="168">
        <f t="shared" si="123"/>
        <v>2026</v>
      </c>
      <c r="I200" s="168">
        <f t="shared" si="123"/>
        <v>2026</v>
      </c>
      <c r="J200" s="168">
        <f t="shared" si="123"/>
        <v>2026</v>
      </c>
      <c r="K200" s="168">
        <f t="shared" si="123"/>
        <v>2026</v>
      </c>
      <c r="L200" s="168">
        <f t="shared" si="123"/>
        <v>2026</v>
      </c>
      <c r="M200" s="168">
        <f t="shared" si="123"/>
        <v>2026</v>
      </c>
      <c r="N200" s="168">
        <f t="shared" si="123"/>
        <v>2026</v>
      </c>
      <c r="O200" s="168">
        <f t="shared" si="123"/>
        <v>2026</v>
      </c>
      <c r="P200" s="168">
        <f t="shared" si="123"/>
        <v>2026</v>
      </c>
      <c r="Q200" s="168">
        <f t="shared" si="123"/>
        <v>2026</v>
      </c>
      <c r="R200" s="168">
        <f t="shared" si="123"/>
        <v>2026</v>
      </c>
      <c r="S200" s="168">
        <f t="shared" si="123"/>
        <v>2026</v>
      </c>
      <c r="T200" s="168">
        <f t="shared" si="123"/>
        <v>2026</v>
      </c>
      <c r="U200" s="168">
        <f t="shared" si="123"/>
        <v>2026</v>
      </c>
      <c r="V200" s="168">
        <f t="shared" si="123"/>
        <v>2026</v>
      </c>
      <c r="W200" s="168">
        <f t="shared" si="123"/>
        <v>2026</v>
      </c>
      <c r="X200" s="168">
        <f t="shared" si="123"/>
        <v>2026</v>
      </c>
      <c r="Y200" s="168">
        <f t="shared" si="123"/>
        <v>2026</v>
      </c>
      <c r="Z200" s="168">
        <f t="shared" si="123"/>
        <v>2026</v>
      </c>
      <c r="AA200" s="168">
        <f t="shared" si="123"/>
        <v>2026</v>
      </c>
      <c r="AB200" s="168">
        <f t="shared" si="123"/>
        <v>2026</v>
      </c>
      <c r="AC200" s="168">
        <f t="shared" si="123"/>
        <v>2026</v>
      </c>
      <c r="AD200" s="168">
        <f t="shared" si="123"/>
        <v>2026</v>
      </c>
    </row>
    <row r="201" spans="1:30" s="168" customFormat="1" x14ac:dyDescent="0.25"/>
    <row r="202" spans="1:30" s="168" customFormat="1" x14ac:dyDescent="0.25">
      <c r="A202" s="203" t="s">
        <v>488</v>
      </c>
      <c r="B202" s="203"/>
      <c r="C202" s="203"/>
    </row>
    <row r="203" spans="1:30" s="39" customFormat="1" x14ac:dyDescent="0.25">
      <c r="B203" s="39">
        <v>2006</v>
      </c>
      <c r="C203" s="39">
        <v>2007</v>
      </c>
      <c r="D203" s="39">
        <v>2008</v>
      </c>
      <c r="E203" s="39">
        <v>2009</v>
      </c>
      <c r="F203" s="39">
        <v>2010</v>
      </c>
      <c r="G203" s="39">
        <v>2011</v>
      </c>
      <c r="H203" s="39">
        <v>2012</v>
      </c>
      <c r="I203" s="39">
        <v>2013</v>
      </c>
      <c r="J203" s="39">
        <v>2014</v>
      </c>
      <c r="K203" s="39">
        <v>2015</v>
      </c>
      <c r="L203" s="39">
        <v>2016</v>
      </c>
      <c r="M203" s="39">
        <v>2017</v>
      </c>
      <c r="N203" s="39">
        <v>2018</v>
      </c>
      <c r="O203" s="39">
        <v>2019</v>
      </c>
      <c r="P203" s="39">
        <v>2020</v>
      </c>
      <c r="Q203" s="39">
        <v>2021</v>
      </c>
      <c r="R203" s="39">
        <v>2022</v>
      </c>
      <c r="S203" s="39">
        <v>2023</v>
      </c>
      <c r="T203" s="39">
        <v>2024</v>
      </c>
      <c r="U203" s="39">
        <v>2025</v>
      </c>
      <c r="V203" s="39">
        <v>2026</v>
      </c>
      <c r="W203" s="39">
        <v>2027</v>
      </c>
      <c r="X203" s="39">
        <v>2028</v>
      </c>
      <c r="Y203" s="39">
        <v>2029</v>
      </c>
      <c r="Z203" s="39">
        <v>2030</v>
      </c>
    </row>
    <row r="204" spans="1:30" x14ac:dyDescent="0.25">
      <c r="A204" s="168" t="s">
        <v>474</v>
      </c>
      <c r="B204" s="168" t="e">
        <f>IF($B$185=2006,$D$185,0)</f>
        <v>#VALUE!</v>
      </c>
      <c r="C204" t="e">
        <f t="shared" ref="C204:Z204" si="124">IF(C$203&lt;$B$185,0,IF(C$203&gt;$C$185,B204,IF(COUNTIF($B189:$AD189,C$203)&gt;0,B204+$D$185,B204)))</f>
        <v>#VALUE!</v>
      </c>
      <c r="D204" s="168" t="e">
        <f t="shared" si="124"/>
        <v>#VALUE!</v>
      </c>
      <c r="E204" s="168" t="e">
        <f t="shared" si="124"/>
        <v>#VALUE!</v>
      </c>
      <c r="F204" s="168" t="e">
        <f t="shared" si="124"/>
        <v>#VALUE!</v>
      </c>
      <c r="G204" s="168" t="e">
        <f t="shared" si="124"/>
        <v>#VALUE!</v>
      </c>
      <c r="H204" s="168" t="e">
        <f t="shared" si="124"/>
        <v>#VALUE!</v>
      </c>
      <c r="I204" s="168" t="e">
        <f t="shared" si="124"/>
        <v>#VALUE!</v>
      </c>
      <c r="J204" s="168" t="e">
        <f t="shared" si="124"/>
        <v>#VALUE!</v>
      </c>
      <c r="K204" s="168" t="e">
        <f t="shared" si="124"/>
        <v>#VALUE!</v>
      </c>
      <c r="L204" s="168" t="e">
        <f t="shared" si="124"/>
        <v>#VALUE!</v>
      </c>
      <c r="M204" s="168" t="e">
        <f t="shared" si="124"/>
        <v>#VALUE!</v>
      </c>
      <c r="N204" s="168" t="e">
        <f t="shared" si="124"/>
        <v>#VALUE!</v>
      </c>
      <c r="O204" s="168" t="e">
        <f t="shared" si="124"/>
        <v>#VALUE!</v>
      </c>
      <c r="P204" s="168" t="e">
        <f t="shared" si="124"/>
        <v>#VALUE!</v>
      </c>
      <c r="Q204" s="168" t="e">
        <f t="shared" si="124"/>
        <v>#VALUE!</v>
      </c>
      <c r="R204" s="168" t="e">
        <f t="shared" si="124"/>
        <v>#VALUE!</v>
      </c>
      <c r="S204" s="168" t="e">
        <f t="shared" si="124"/>
        <v>#VALUE!</v>
      </c>
      <c r="T204" s="168" t="e">
        <f t="shared" si="124"/>
        <v>#VALUE!</v>
      </c>
      <c r="U204" s="168" t="e">
        <f t="shared" si="124"/>
        <v>#VALUE!</v>
      </c>
      <c r="V204" s="168" t="e">
        <f t="shared" si="124"/>
        <v>#VALUE!</v>
      </c>
      <c r="W204" s="168" t="e">
        <f t="shared" si="124"/>
        <v>#VALUE!</v>
      </c>
      <c r="X204" s="168" t="e">
        <f t="shared" si="124"/>
        <v>#VALUE!</v>
      </c>
      <c r="Y204" s="168" t="e">
        <f t="shared" si="124"/>
        <v>#VALUE!</v>
      </c>
      <c r="Z204" s="168" t="e">
        <f t="shared" si="124"/>
        <v>#VALUE!</v>
      </c>
    </row>
    <row r="205" spans="1:30" x14ac:dyDescent="0.25">
      <c r="A205" s="168" t="s">
        <v>475</v>
      </c>
      <c r="B205" s="168" t="e">
        <f t="shared" ref="B205:B208" si="125">IF($B$185=2006,$D$185,0)</f>
        <v>#VALUE!</v>
      </c>
      <c r="C205" s="168" t="e">
        <f t="shared" ref="C205:Z205" si="126">IF(C$203&lt;$B$185,0,IF(C$203&gt;$C$185,B205,IF(COUNTIF($B190:$AD190,C$203)&gt;0,B205+$D$185,B205)))</f>
        <v>#VALUE!</v>
      </c>
      <c r="D205" s="168" t="e">
        <f t="shared" si="126"/>
        <v>#VALUE!</v>
      </c>
      <c r="E205" s="168" t="e">
        <f t="shared" si="126"/>
        <v>#VALUE!</v>
      </c>
      <c r="F205" s="168" t="e">
        <f t="shared" si="126"/>
        <v>#VALUE!</v>
      </c>
      <c r="G205" s="168" t="e">
        <f t="shared" si="126"/>
        <v>#VALUE!</v>
      </c>
      <c r="H205" s="168" t="e">
        <f t="shared" si="126"/>
        <v>#VALUE!</v>
      </c>
      <c r="I205" s="168" t="e">
        <f t="shared" si="126"/>
        <v>#VALUE!</v>
      </c>
      <c r="J205" s="168" t="e">
        <f t="shared" si="126"/>
        <v>#VALUE!</v>
      </c>
      <c r="K205" s="168" t="e">
        <f t="shared" si="126"/>
        <v>#VALUE!</v>
      </c>
      <c r="L205" s="168" t="e">
        <f t="shared" si="126"/>
        <v>#VALUE!</v>
      </c>
      <c r="M205" s="168" t="e">
        <f t="shared" si="126"/>
        <v>#VALUE!</v>
      </c>
      <c r="N205" s="168" t="e">
        <f t="shared" si="126"/>
        <v>#VALUE!</v>
      </c>
      <c r="O205" s="168" t="e">
        <f t="shared" si="126"/>
        <v>#VALUE!</v>
      </c>
      <c r="P205" s="168" t="e">
        <f t="shared" si="126"/>
        <v>#VALUE!</v>
      </c>
      <c r="Q205" s="168" t="e">
        <f t="shared" si="126"/>
        <v>#VALUE!</v>
      </c>
      <c r="R205" s="168" t="e">
        <f t="shared" si="126"/>
        <v>#VALUE!</v>
      </c>
      <c r="S205" s="168" t="e">
        <f t="shared" si="126"/>
        <v>#VALUE!</v>
      </c>
      <c r="T205" s="168" t="e">
        <f t="shared" si="126"/>
        <v>#VALUE!</v>
      </c>
      <c r="U205" s="168" t="e">
        <f t="shared" si="126"/>
        <v>#VALUE!</v>
      </c>
      <c r="V205" s="168" t="e">
        <f t="shared" si="126"/>
        <v>#VALUE!</v>
      </c>
      <c r="W205" s="168" t="e">
        <f t="shared" si="126"/>
        <v>#VALUE!</v>
      </c>
      <c r="X205" s="168" t="e">
        <f t="shared" si="126"/>
        <v>#VALUE!</v>
      </c>
      <c r="Y205" s="168" t="e">
        <f t="shared" si="126"/>
        <v>#VALUE!</v>
      </c>
      <c r="Z205" s="168" t="e">
        <f t="shared" si="126"/>
        <v>#VALUE!</v>
      </c>
    </row>
    <row r="206" spans="1:30" x14ac:dyDescent="0.25">
      <c r="A206" s="168" t="s">
        <v>477</v>
      </c>
      <c r="B206" s="168" t="e">
        <f t="shared" si="125"/>
        <v>#VALUE!</v>
      </c>
      <c r="C206" s="168" t="e">
        <f t="shared" ref="C206:Z206" si="127">IF(C$203&lt;$B$185,0,IF(C$203&gt;$C$185,B206,IF(COUNTIF($B191:$AD191,C$203)&gt;0,B206+$D$185,B206)))</f>
        <v>#VALUE!</v>
      </c>
      <c r="D206" s="168" t="e">
        <f t="shared" si="127"/>
        <v>#VALUE!</v>
      </c>
      <c r="E206" s="168" t="e">
        <f t="shared" si="127"/>
        <v>#VALUE!</v>
      </c>
      <c r="F206" s="168" t="e">
        <f t="shared" si="127"/>
        <v>#VALUE!</v>
      </c>
      <c r="G206" s="168" t="e">
        <f t="shared" si="127"/>
        <v>#VALUE!</v>
      </c>
      <c r="H206" s="168" t="e">
        <f t="shared" si="127"/>
        <v>#VALUE!</v>
      </c>
      <c r="I206" s="168" t="e">
        <f t="shared" si="127"/>
        <v>#VALUE!</v>
      </c>
      <c r="J206" s="168" t="e">
        <f t="shared" si="127"/>
        <v>#VALUE!</v>
      </c>
      <c r="K206" s="168" t="e">
        <f t="shared" si="127"/>
        <v>#VALUE!</v>
      </c>
      <c r="L206" s="168" t="e">
        <f t="shared" si="127"/>
        <v>#VALUE!</v>
      </c>
      <c r="M206" s="168" t="e">
        <f t="shared" si="127"/>
        <v>#VALUE!</v>
      </c>
      <c r="N206" s="168" t="e">
        <f t="shared" si="127"/>
        <v>#VALUE!</v>
      </c>
      <c r="O206" s="168" t="e">
        <f t="shared" si="127"/>
        <v>#VALUE!</v>
      </c>
      <c r="P206" s="168" t="e">
        <f t="shared" si="127"/>
        <v>#VALUE!</v>
      </c>
      <c r="Q206" s="168" t="e">
        <f t="shared" si="127"/>
        <v>#VALUE!</v>
      </c>
      <c r="R206" s="168" t="e">
        <f t="shared" si="127"/>
        <v>#VALUE!</v>
      </c>
      <c r="S206" s="168" t="e">
        <f t="shared" si="127"/>
        <v>#VALUE!</v>
      </c>
      <c r="T206" s="168" t="e">
        <f t="shared" si="127"/>
        <v>#VALUE!</v>
      </c>
      <c r="U206" s="168" t="e">
        <f t="shared" si="127"/>
        <v>#VALUE!</v>
      </c>
      <c r="V206" s="168" t="e">
        <f t="shared" si="127"/>
        <v>#VALUE!</v>
      </c>
      <c r="W206" s="168" t="e">
        <f t="shared" si="127"/>
        <v>#VALUE!</v>
      </c>
      <c r="X206" s="168" t="e">
        <f t="shared" si="127"/>
        <v>#VALUE!</v>
      </c>
      <c r="Y206" s="168" t="e">
        <f t="shared" si="127"/>
        <v>#VALUE!</v>
      </c>
      <c r="Z206" s="168" t="e">
        <f t="shared" si="127"/>
        <v>#VALUE!</v>
      </c>
    </row>
    <row r="207" spans="1:30" x14ac:dyDescent="0.25">
      <c r="A207" s="168" t="s">
        <v>476</v>
      </c>
      <c r="B207" s="168" t="e">
        <f t="shared" si="125"/>
        <v>#VALUE!</v>
      </c>
      <c r="C207" s="168" t="e">
        <f t="shared" ref="C207:Z207" si="128">IF(C$203&lt;$B$185,0,IF(C$203&gt;$C$185,B207,IF(COUNTIF($B192:$AD192,C$203)&gt;0,B207+$D$185,B207)))</f>
        <v>#VALUE!</v>
      </c>
      <c r="D207" s="168" t="e">
        <f t="shared" si="128"/>
        <v>#VALUE!</v>
      </c>
      <c r="E207" s="168" t="e">
        <f t="shared" si="128"/>
        <v>#VALUE!</v>
      </c>
      <c r="F207" s="168" t="e">
        <f t="shared" si="128"/>
        <v>#VALUE!</v>
      </c>
      <c r="G207" s="168" t="e">
        <f t="shared" si="128"/>
        <v>#VALUE!</v>
      </c>
      <c r="H207" s="168" t="e">
        <f t="shared" si="128"/>
        <v>#VALUE!</v>
      </c>
      <c r="I207" s="168" t="e">
        <f t="shared" si="128"/>
        <v>#VALUE!</v>
      </c>
      <c r="J207" s="168" t="e">
        <f t="shared" si="128"/>
        <v>#VALUE!</v>
      </c>
      <c r="K207" s="168" t="e">
        <f t="shared" si="128"/>
        <v>#VALUE!</v>
      </c>
      <c r="L207" s="168" t="e">
        <f t="shared" si="128"/>
        <v>#VALUE!</v>
      </c>
      <c r="M207" s="168" t="e">
        <f t="shared" si="128"/>
        <v>#VALUE!</v>
      </c>
      <c r="N207" s="168" t="e">
        <f t="shared" si="128"/>
        <v>#VALUE!</v>
      </c>
      <c r="O207" s="168" t="e">
        <f t="shared" si="128"/>
        <v>#VALUE!</v>
      </c>
      <c r="P207" s="168" t="e">
        <f t="shared" si="128"/>
        <v>#VALUE!</v>
      </c>
      <c r="Q207" s="168" t="e">
        <f t="shared" si="128"/>
        <v>#VALUE!</v>
      </c>
      <c r="R207" s="168" t="e">
        <f t="shared" si="128"/>
        <v>#VALUE!</v>
      </c>
      <c r="S207" s="168" t="e">
        <f t="shared" si="128"/>
        <v>#VALUE!</v>
      </c>
      <c r="T207" s="168" t="e">
        <f t="shared" si="128"/>
        <v>#VALUE!</v>
      </c>
      <c r="U207" s="168" t="e">
        <f t="shared" si="128"/>
        <v>#VALUE!</v>
      </c>
      <c r="V207" s="168" t="e">
        <f t="shared" si="128"/>
        <v>#VALUE!</v>
      </c>
      <c r="W207" s="168" t="e">
        <f t="shared" si="128"/>
        <v>#VALUE!</v>
      </c>
      <c r="X207" s="168" t="e">
        <f t="shared" si="128"/>
        <v>#VALUE!</v>
      </c>
      <c r="Y207" s="168" t="e">
        <f t="shared" si="128"/>
        <v>#VALUE!</v>
      </c>
      <c r="Z207" s="168" t="e">
        <f t="shared" si="128"/>
        <v>#VALUE!</v>
      </c>
    </row>
    <row r="208" spans="1:30" x14ac:dyDescent="0.25">
      <c r="A208" s="168" t="s">
        <v>482</v>
      </c>
      <c r="B208" s="168" t="e">
        <f t="shared" si="125"/>
        <v>#VALUE!</v>
      </c>
      <c r="C208" s="168" t="e">
        <f t="shared" ref="C208:Z208" si="129">IF(C$203&lt;$B$185,0,IF(C$203&gt;$C$185,B208,IF(COUNTIF($B193:$AD193,C$203)&gt;0,B208+$D$185,B208)))</f>
        <v>#VALUE!</v>
      </c>
      <c r="D208" s="168" t="e">
        <f t="shared" si="129"/>
        <v>#VALUE!</v>
      </c>
      <c r="E208" s="168" t="e">
        <f t="shared" si="129"/>
        <v>#VALUE!</v>
      </c>
      <c r="F208" s="168" t="e">
        <f t="shared" si="129"/>
        <v>#VALUE!</v>
      </c>
      <c r="G208" s="168" t="e">
        <f t="shared" si="129"/>
        <v>#VALUE!</v>
      </c>
      <c r="H208" s="168" t="e">
        <f t="shared" si="129"/>
        <v>#VALUE!</v>
      </c>
      <c r="I208" s="168" t="e">
        <f t="shared" si="129"/>
        <v>#VALUE!</v>
      </c>
      <c r="J208" s="168" t="e">
        <f t="shared" si="129"/>
        <v>#VALUE!</v>
      </c>
      <c r="K208" s="168" t="e">
        <f t="shared" si="129"/>
        <v>#VALUE!</v>
      </c>
      <c r="L208" s="168" t="e">
        <f t="shared" si="129"/>
        <v>#VALUE!</v>
      </c>
      <c r="M208" s="168" t="e">
        <f t="shared" si="129"/>
        <v>#VALUE!</v>
      </c>
      <c r="N208" s="168" t="e">
        <f t="shared" si="129"/>
        <v>#VALUE!</v>
      </c>
      <c r="O208" s="168" t="e">
        <f t="shared" si="129"/>
        <v>#VALUE!</v>
      </c>
      <c r="P208" s="168" t="e">
        <f t="shared" si="129"/>
        <v>#VALUE!</v>
      </c>
      <c r="Q208" s="168" t="e">
        <f t="shared" si="129"/>
        <v>#VALUE!</v>
      </c>
      <c r="R208" s="168" t="e">
        <f t="shared" si="129"/>
        <v>#VALUE!</v>
      </c>
      <c r="S208" s="168" t="e">
        <f t="shared" si="129"/>
        <v>#VALUE!</v>
      </c>
      <c r="T208" s="168" t="e">
        <f t="shared" si="129"/>
        <v>#VALUE!</v>
      </c>
      <c r="U208" s="168" t="e">
        <f t="shared" si="129"/>
        <v>#VALUE!</v>
      </c>
      <c r="V208" s="168" t="e">
        <f t="shared" si="129"/>
        <v>#VALUE!</v>
      </c>
      <c r="W208" s="168" t="e">
        <f t="shared" si="129"/>
        <v>#VALUE!</v>
      </c>
      <c r="X208" s="168" t="e">
        <f t="shared" si="129"/>
        <v>#VALUE!</v>
      </c>
      <c r="Y208" s="168" t="e">
        <f t="shared" si="129"/>
        <v>#VALUE!</v>
      </c>
      <c r="Z208" s="168" t="e">
        <f t="shared" si="129"/>
        <v>#VALUE!</v>
      </c>
    </row>
    <row r="210" spans="1:26" x14ac:dyDescent="0.25">
      <c r="A210" s="203" t="s">
        <v>489</v>
      </c>
      <c r="B210" s="203"/>
      <c r="C210" s="203"/>
    </row>
    <row r="211" spans="1:26" x14ac:dyDescent="0.25">
      <c r="A211" s="39"/>
      <c r="B211" s="39">
        <v>2006</v>
      </c>
      <c r="C211" s="39">
        <v>2007</v>
      </c>
      <c r="D211" s="39">
        <v>2008</v>
      </c>
      <c r="E211" s="39">
        <v>2009</v>
      </c>
      <c r="F211" s="39">
        <v>2010</v>
      </c>
      <c r="G211" s="39">
        <v>2011</v>
      </c>
      <c r="H211" s="39">
        <v>2012</v>
      </c>
      <c r="I211" s="39">
        <v>2013</v>
      </c>
      <c r="J211" s="39">
        <v>2014</v>
      </c>
      <c r="K211" s="39">
        <v>2015</v>
      </c>
      <c r="L211" s="39">
        <v>2016</v>
      </c>
      <c r="M211" s="39">
        <v>2017</v>
      </c>
      <c r="N211" s="39">
        <v>2018</v>
      </c>
      <c r="O211" s="39">
        <v>2019</v>
      </c>
      <c r="P211" s="39">
        <v>2020</v>
      </c>
      <c r="Q211" s="39">
        <v>2021</v>
      </c>
      <c r="R211" s="39">
        <v>2022</v>
      </c>
      <c r="S211" s="39">
        <v>2023</v>
      </c>
      <c r="T211" s="39">
        <v>2024</v>
      </c>
      <c r="U211" s="39">
        <v>2025</v>
      </c>
      <c r="V211" s="39">
        <v>2026</v>
      </c>
      <c r="W211" s="39">
        <v>2027</v>
      </c>
      <c r="X211" s="39">
        <v>2028</v>
      </c>
      <c r="Y211" s="39">
        <v>2029</v>
      </c>
      <c r="Z211" s="39">
        <v>2030</v>
      </c>
    </row>
    <row r="212" spans="1:26" x14ac:dyDescent="0.25">
      <c r="A212" s="168" t="s">
        <v>474</v>
      </c>
      <c r="B212" s="168" t="e">
        <f>IF($B$186=2006,$D$186,0)</f>
        <v>#VALUE!</v>
      </c>
      <c r="C212" s="168" t="e">
        <f>IF(C$211&lt;$B$186,0,IF(C$211&gt;$C$186,B212,IF(COUNTIF($B196:$AD196,C$211)&gt;0,B212+$D$186,B212)))</f>
        <v>#VALUE!</v>
      </c>
      <c r="D212" s="168" t="e">
        <f t="shared" ref="D212:Z216" si="130">IF(D$211&lt;$B$186,0,IF(D$211&gt;$C$186,C212,IF(COUNTIF($B196:$AD196,D$211)&gt;0,C212+$D$186,C212)))</f>
        <v>#VALUE!</v>
      </c>
      <c r="E212" s="168" t="e">
        <f t="shared" si="130"/>
        <v>#VALUE!</v>
      </c>
      <c r="F212" s="168" t="e">
        <f t="shared" si="130"/>
        <v>#VALUE!</v>
      </c>
      <c r="G212" s="168" t="e">
        <f t="shared" si="130"/>
        <v>#VALUE!</v>
      </c>
      <c r="H212" s="168" t="e">
        <f t="shared" si="130"/>
        <v>#VALUE!</v>
      </c>
      <c r="I212" s="168" t="e">
        <f t="shared" si="130"/>
        <v>#VALUE!</v>
      </c>
      <c r="J212" s="168" t="e">
        <f t="shared" si="130"/>
        <v>#VALUE!</v>
      </c>
      <c r="K212" s="168" t="e">
        <f t="shared" si="130"/>
        <v>#VALUE!</v>
      </c>
      <c r="L212" s="168" t="e">
        <f t="shared" si="130"/>
        <v>#VALUE!</v>
      </c>
      <c r="M212" s="168" t="e">
        <f t="shared" si="130"/>
        <v>#VALUE!</v>
      </c>
      <c r="N212" s="168" t="e">
        <f t="shared" si="130"/>
        <v>#VALUE!</v>
      </c>
      <c r="O212" s="168" t="e">
        <f t="shared" si="130"/>
        <v>#VALUE!</v>
      </c>
      <c r="P212" s="168" t="e">
        <f t="shared" si="130"/>
        <v>#VALUE!</v>
      </c>
      <c r="Q212" s="168" t="e">
        <f t="shared" si="130"/>
        <v>#VALUE!</v>
      </c>
      <c r="R212" s="168" t="e">
        <f t="shared" si="130"/>
        <v>#VALUE!</v>
      </c>
      <c r="S212" s="168" t="e">
        <f t="shared" si="130"/>
        <v>#VALUE!</v>
      </c>
      <c r="T212" s="168" t="e">
        <f t="shared" si="130"/>
        <v>#VALUE!</v>
      </c>
      <c r="U212" s="168" t="e">
        <f t="shared" si="130"/>
        <v>#VALUE!</v>
      </c>
      <c r="V212" s="168" t="e">
        <f t="shared" si="130"/>
        <v>#VALUE!</v>
      </c>
      <c r="W212" s="168" t="e">
        <f t="shared" si="130"/>
        <v>#VALUE!</v>
      </c>
      <c r="X212" s="168" t="e">
        <f t="shared" si="130"/>
        <v>#VALUE!</v>
      </c>
      <c r="Y212" s="168" t="e">
        <f t="shared" si="130"/>
        <v>#VALUE!</v>
      </c>
      <c r="Z212" s="168" t="e">
        <f t="shared" si="130"/>
        <v>#VALUE!</v>
      </c>
    </row>
    <row r="213" spans="1:26" x14ac:dyDescent="0.25">
      <c r="A213" s="168" t="s">
        <v>475</v>
      </c>
      <c r="B213" s="168" t="e">
        <f t="shared" ref="B213:B216" si="131">IF($B$186=2006,$D$186,0)</f>
        <v>#VALUE!</v>
      </c>
      <c r="C213" s="168" t="e">
        <f t="shared" ref="C213:R216" si="132">IF(C$211&lt;$B$186,0,IF(C$211&gt;$C$186,B213,IF(COUNTIF($B197:$AD197,C$211)&gt;0,B213+$D$186,B213)))</f>
        <v>#VALUE!</v>
      </c>
      <c r="D213" s="168" t="e">
        <f t="shared" si="132"/>
        <v>#VALUE!</v>
      </c>
      <c r="E213" s="168" t="e">
        <f t="shared" si="132"/>
        <v>#VALUE!</v>
      </c>
      <c r="F213" s="168" t="e">
        <f t="shared" si="132"/>
        <v>#VALUE!</v>
      </c>
      <c r="G213" s="168" t="e">
        <f t="shared" si="132"/>
        <v>#VALUE!</v>
      </c>
      <c r="H213" s="168" t="e">
        <f t="shared" si="132"/>
        <v>#VALUE!</v>
      </c>
      <c r="I213" s="168" t="e">
        <f t="shared" si="132"/>
        <v>#VALUE!</v>
      </c>
      <c r="J213" s="168" t="e">
        <f t="shared" si="132"/>
        <v>#VALUE!</v>
      </c>
      <c r="K213" s="168" t="e">
        <f t="shared" si="132"/>
        <v>#VALUE!</v>
      </c>
      <c r="L213" s="168" t="e">
        <f t="shared" si="132"/>
        <v>#VALUE!</v>
      </c>
      <c r="M213" s="168" t="e">
        <f t="shared" si="132"/>
        <v>#VALUE!</v>
      </c>
      <c r="N213" s="168" t="e">
        <f t="shared" si="132"/>
        <v>#VALUE!</v>
      </c>
      <c r="O213" s="168" t="e">
        <f t="shared" si="132"/>
        <v>#VALUE!</v>
      </c>
      <c r="P213" s="168" t="e">
        <f t="shared" si="132"/>
        <v>#VALUE!</v>
      </c>
      <c r="Q213" s="168" t="e">
        <f t="shared" si="132"/>
        <v>#VALUE!</v>
      </c>
      <c r="R213" s="168" t="e">
        <f t="shared" si="132"/>
        <v>#VALUE!</v>
      </c>
      <c r="S213" s="168" t="e">
        <f t="shared" si="130"/>
        <v>#VALUE!</v>
      </c>
      <c r="T213" s="168" t="e">
        <f t="shared" si="130"/>
        <v>#VALUE!</v>
      </c>
      <c r="U213" s="168" t="e">
        <f t="shared" si="130"/>
        <v>#VALUE!</v>
      </c>
      <c r="V213" s="168" t="e">
        <f t="shared" si="130"/>
        <v>#VALUE!</v>
      </c>
      <c r="W213" s="168" t="e">
        <f t="shared" si="130"/>
        <v>#VALUE!</v>
      </c>
      <c r="X213" s="168" t="e">
        <f t="shared" si="130"/>
        <v>#VALUE!</v>
      </c>
      <c r="Y213" s="168" t="e">
        <f t="shared" si="130"/>
        <v>#VALUE!</v>
      </c>
      <c r="Z213" s="168" t="e">
        <f t="shared" si="130"/>
        <v>#VALUE!</v>
      </c>
    </row>
    <row r="214" spans="1:26" x14ac:dyDescent="0.25">
      <c r="A214" s="168" t="s">
        <v>477</v>
      </c>
      <c r="B214" s="168" t="e">
        <f t="shared" si="131"/>
        <v>#VALUE!</v>
      </c>
      <c r="C214" s="168" t="e">
        <f t="shared" si="132"/>
        <v>#VALUE!</v>
      </c>
      <c r="D214" s="168" t="e">
        <f t="shared" si="130"/>
        <v>#VALUE!</v>
      </c>
      <c r="E214" s="168" t="e">
        <f t="shared" si="130"/>
        <v>#VALUE!</v>
      </c>
      <c r="F214" s="168" t="e">
        <f t="shared" si="130"/>
        <v>#VALUE!</v>
      </c>
      <c r="G214" s="168" t="e">
        <f t="shared" si="130"/>
        <v>#VALUE!</v>
      </c>
      <c r="H214" s="168" t="e">
        <f t="shared" si="130"/>
        <v>#VALUE!</v>
      </c>
      <c r="I214" s="168" t="e">
        <f t="shared" si="130"/>
        <v>#VALUE!</v>
      </c>
      <c r="J214" s="168" t="e">
        <f t="shared" si="130"/>
        <v>#VALUE!</v>
      </c>
      <c r="K214" s="168" t="e">
        <f t="shared" si="130"/>
        <v>#VALUE!</v>
      </c>
      <c r="L214" s="168" t="e">
        <f t="shared" si="130"/>
        <v>#VALUE!</v>
      </c>
      <c r="M214" s="168" t="e">
        <f t="shared" si="130"/>
        <v>#VALUE!</v>
      </c>
      <c r="N214" s="168" t="e">
        <f t="shared" si="130"/>
        <v>#VALUE!</v>
      </c>
      <c r="O214" s="168" t="e">
        <f t="shared" si="130"/>
        <v>#VALUE!</v>
      </c>
      <c r="P214" s="168" t="e">
        <f t="shared" si="130"/>
        <v>#VALUE!</v>
      </c>
      <c r="Q214" s="168" t="e">
        <f t="shared" si="130"/>
        <v>#VALUE!</v>
      </c>
      <c r="R214" s="168" t="e">
        <f t="shared" si="130"/>
        <v>#VALUE!</v>
      </c>
      <c r="S214" s="168" t="e">
        <f t="shared" si="130"/>
        <v>#VALUE!</v>
      </c>
      <c r="T214" s="168" t="e">
        <f t="shared" si="130"/>
        <v>#VALUE!</v>
      </c>
      <c r="U214" s="168" t="e">
        <f t="shared" si="130"/>
        <v>#VALUE!</v>
      </c>
      <c r="V214" s="168" t="e">
        <f t="shared" si="130"/>
        <v>#VALUE!</v>
      </c>
      <c r="W214" s="168" t="e">
        <f t="shared" si="130"/>
        <v>#VALUE!</v>
      </c>
      <c r="X214" s="168" t="e">
        <f t="shared" si="130"/>
        <v>#VALUE!</v>
      </c>
      <c r="Y214" s="168" t="e">
        <f t="shared" si="130"/>
        <v>#VALUE!</v>
      </c>
      <c r="Z214" s="168" t="e">
        <f t="shared" si="130"/>
        <v>#VALUE!</v>
      </c>
    </row>
    <row r="215" spans="1:26" x14ac:dyDescent="0.25">
      <c r="A215" s="168" t="s">
        <v>476</v>
      </c>
      <c r="B215" s="168" t="e">
        <f t="shared" si="131"/>
        <v>#VALUE!</v>
      </c>
      <c r="C215" s="168" t="e">
        <f t="shared" si="132"/>
        <v>#VALUE!</v>
      </c>
      <c r="D215" s="168" t="e">
        <f t="shared" si="130"/>
        <v>#VALUE!</v>
      </c>
      <c r="E215" s="168" t="e">
        <f t="shared" si="130"/>
        <v>#VALUE!</v>
      </c>
      <c r="F215" s="168" t="e">
        <f t="shared" si="130"/>
        <v>#VALUE!</v>
      </c>
      <c r="G215" s="168" t="e">
        <f t="shared" si="130"/>
        <v>#VALUE!</v>
      </c>
      <c r="H215" s="168" t="e">
        <f t="shared" si="130"/>
        <v>#VALUE!</v>
      </c>
      <c r="I215" s="168" t="e">
        <f t="shared" si="130"/>
        <v>#VALUE!</v>
      </c>
      <c r="J215" s="168" t="e">
        <f t="shared" si="130"/>
        <v>#VALUE!</v>
      </c>
      <c r="K215" s="168" t="e">
        <f t="shared" si="130"/>
        <v>#VALUE!</v>
      </c>
      <c r="L215" s="168" t="e">
        <f t="shared" si="130"/>
        <v>#VALUE!</v>
      </c>
      <c r="M215" s="168" t="e">
        <f t="shared" si="130"/>
        <v>#VALUE!</v>
      </c>
      <c r="N215" s="168" t="e">
        <f t="shared" si="130"/>
        <v>#VALUE!</v>
      </c>
      <c r="O215" s="168" t="e">
        <f t="shared" si="130"/>
        <v>#VALUE!</v>
      </c>
      <c r="P215" s="168" t="e">
        <f t="shared" si="130"/>
        <v>#VALUE!</v>
      </c>
      <c r="Q215" s="168" t="e">
        <f t="shared" si="130"/>
        <v>#VALUE!</v>
      </c>
      <c r="R215" s="168" t="e">
        <f t="shared" si="130"/>
        <v>#VALUE!</v>
      </c>
      <c r="S215" s="168" t="e">
        <f t="shared" si="130"/>
        <v>#VALUE!</v>
      </c>
      <c r="T215" s="168" t="e">
        <f t="shared" si="130"/>
        <v>#VALUE!</v>
      </c>
      <c r="U215" s="168" t="e">
        <f t="shared" si="130"/>
        <v>#VALUE!</v>
      </c>
      <c r="V215" s="168" t="e">
        <f t="shared" si="130"/>
        <v>#VALUE!</v>
      </c>
      <c r="W215" s="168" t="e">
        <f t="shared" si="130"/>
        <v>#VALUE!</v>
      </c>
      <c r="X215" s="168" t="e">
        <f t="shared" si="130"/>
        <v>#VALUE!</v>
      </c>
      <c r="Y215" s="168" t="e">
        <f t="shared" si="130"/>
        <v>#VALUE!</v>
      </c>
      <c r="Z215" s="168" t="e">
        <f t="shared" si="130"/>
        <v>#VALUE!</v>
      </c>
    </row>
    <row r="216" spans="1:26" x14ac:dyDescent="0.25">
      <c r="A216" s="168" t="s">
        <v>482</v>
      </c>
      <c r="B216" s="168" t="e">
        <f t="shared" si="131"/>
        <v>#VALUE!</v>
      </c>
      <c r="C216" s="168" t="e">
        <f t="shared" si="132"/>
        <v>#VALUE!</v>
      </c>
      <c r="D216" s="168" t="e">
        <f t="shared" si="130"/>
        <v>#VALUE!</v>
      </c>
      <c r="E216" s="168" t="e">
        <f t="shared" si="130"/>
        <v>#VALUE!</v>
      </c>
      <c r="F216" s="168" t="e">
        <f t="shared" si="130"/>
        <v>#VALUE!</v>
      </c>
      <c r="G216" s="168" t="e">
        <f t="shared" si="130"/>
        <v>#VALUE!</v>
      </c>
      <c r="H216" s="168" t="e">
        <f t="shared" si="130"/>
        <v>#VALUE!</v>
      </c>
      <c r="I216" s="168" t="e">
        <f t="shared" si="130"/>
        <v>#VALUE!</v>
      </c>
      <c r="J216" s="168" t="e">
        <f t="shared" si="130"/>
        <v>#VALUE!</v>
      </c>
      <c r="K216" s="168" t="e">
        <f t="shared" si="130"/>
        <v>#VALUE!</v>
      </c>
      <c r="L216" s="168" t="e">
        <f t="shared" si="130"/>
        <v>#VALUE!</v>
      </c>
      <c r="M216" s="168" t="e">
        <f t="shared" si="130"/>
        <v>#VALUE!</v>
      </c>
      <c r="N216" s="168" t="e">
        <f t="shared" si="130"/>
        <v>#VALUE!</v>
      </c>
      <c r="O216" s="168" t="e">
        <f t="shared" si="130"/>
        <v>#VALUE!</v>
      </c>
      <c r="P216" s="168" t="e">
        <f t="shared" si="130"/>
        <v>#VALUE!</v>
      </c>
      <c r="Q216" s="168" t="e">
        <f t="shared" si="130"/>
        <v>#VALUE!</v>
      </c>
      <c r="R216" s="168" t="e">
        <f t="shared" si="130"/>
        <v>#VALUE!</v>
      </c>
      <c r="S216" s="168" t="e">
        <f t="shared" si="130"/>
        <v>#VALUE!</v>
      </c>
      <c r="T216" s="168" t="e">
        <f t="shared" si="130"/>
        <v>#VALUE!</v>
      </c>
      <c r="U216" s="168" t="e">
        <f t="shared" si="130"/>
        <v>#VALUE!</v>
      </c>
      <c r="V216" s="168" t="e">
        <f t="shared" si="130"/>
        <v>#VALUE!</v>
      </c>
      <c r="W216" s="168" t="e">
        <f t="shared" si="130"/>
        <v>#VALUE!</v>
      </c>
      <c r="X216" s="168" t="e">
        <f t="shared" si="130"/>
        <v>#VALUE!</v>
      </c>
      <c r="Y216" s="168" t="e">
        <f t="shared" si="130"/>
        <v>#VALUE!</v>
      </c>
      <c r="Z216" s="168" t="e">
        <f t="shared" si="130"/>
        <v>#VALUE!</v>
      </c>
    </row>
    <row r="218" spans="1:26" x14ac:dyDescent="0.25">
      <c r="A218" s="203" t="s">
        <v>490</v>
      </c>
      <c r="B218" s="203"/>
      <c r="C218" s="203"/>
    </row>
    <row r="219" spans="1:26" x14ac:dyDescent="0.25">
      <c r="B219" t="s">
        <v>231</v>
      </c>
      <c r="C219" t="s">
        <v>233</v>
      </c>
    </row>
    <row r="220" spans="1:26" x14ac:dyDescent="0.25">
      <c r="A220" t="s">
        <v>464</v>
      </c>
      <c r="B220" t="s">
        <v>483</v>
      </c>
      <c r="C220" t="s">
        <v>483</v>
      </c>
    </row>
    <row r="221" spans="1:26" x14ac:dyDescent="0.25">
      <c r="A221" t="s">
        <v>1</v>
      </c>
    </row>
    <row r="222" spans="1:26" x14ac:dyDescent="0.25">
      <c r="A222" t="s">
        <v>2</v>
      </c>
    </row>
    <row r="223" spans="1:26" x14ac:dyDescent="0.25">
      <c r="A223" t="s">
        <v>3</v>
      </c>
      <c r="B223" t="s">
        <v>58</v>
      </c>
    </row>
    <row r="224" spans="1:26" x14ac:dyDescent="0.25">
      <c r="A224" t="s">
        <v>4</v>
      </c>
      <c r="B224" t="s">
        <v>58</v>
      </c>
    </row>
    <row r="225" spans="1:5" x14ac:dyDescent="0.25">
      <c r="A225" t="s">
        <v>5</v>
      </c>
    </row>
    <row r="226" spans="1:5" x14ac:dyDescent="0.25">
      <c r="A226" t="s">
        <v>6</v>
      </c>
      <c r="C226" t="s">
        <v>58</v>
      </c>
    </row>
    <row r="227" spans="1:5" x14ac:dyDescent="0.25">
      <c r="A227" t="s">
        <v>7</v>
      </c>
    </row>
    <row r="228" spans="1:5" x14ac:dyDescent="0.25">
      <c r="A228" t="s">
        <v>8</v>
      </c>
      <c r="B228" t="s">
        <v>58</v>
      </c>
    </row>
    <row r="229" spans="1:5" x14ac:dyDescent="0.25">
      <c r="A229" t="s">
        <v>10</v>
      </c>
    </row>
    <row r="230" spans="1:5" x14ac:dyDescent="0.25">
      <c r="A230">
        <f>A116</f>
        <v>0</v>
      </c>
    </row>
    <row r="232" spans="1:5" x14ac:dyDescent="0.25">
      <c r="A232" s="203" t="s">
        <v>494</v>
      </c>
      <c r="B232" s="203"/>
      <c r="C232" s="203"/>
    </row>
    <row r="233" spans="1:5" x14ac:dyDescent="0.25">
      <c r="A233" t="str">
        <f>A221</f>
        <v>Australia</v>
      </c>
      <c r="B233" s="51">
        <f>IF(COUNTIF(Developed,A233)=1,AVERAGE(INDEX(VoP_OTDS,MATCH(A233,$A$105:$A$116,0),MATCH($D$234,$A$105:$AA$105)):INDEX(VoP_OTDS,MATCH(A233,$A$105:$A$116,0),MATCH($E$234,$A$105:$AA$105))),AVERAGE(INDEX(VoP_OTDS,MATCH(A233,$A$105:$A$116,0),MATCH($D$235,$A$105:$AA$105)):INDEX(VoP_OTDS,MATCH(A233,$A$105:$A$116,0),MATCH($E$235,$A$105:$AA$105))))</f>
        <v>47623949932.941162</v>
      </c>
      <c r="D233" s="39" t="s">
        <v>480</v>
      </c>
      <c r="E233" s="39" t="s">
        <v>481</v>
      </c>
    </row>
    <row r="234" spans="1:5" x14ac:dyDescent="0.25">
      <c r="A234" s="168" t="str">
        <f t="shared" ref="A234:A242" si="133">A222</f>
        <v>Brazil</v>
      </c>
      <c r="B234" s="51">
        <f>IF(COUNTIF(Developed,A234)=1,AVERAGE(INDEX(VoP_OTDS,MATCH(A234,$A$105:$A$116,0),MATCH($D$234,$A$105:$AA$105)):INDEX(VoP_OTDS,MATCH(A234,$A$105:$A$116,0),MATCH($E$234,$A$105:$AA$105))),AVERAGE(INDEX(VoP_OTDS,MATCH(A234,$A$105:$A$116,0),MATCH($D$235,$A$105:$AA$105)):INDEX(VoP_OTDS,MATCH(A234,$A$105:$A$116,0),MATCH($E$235,$A$105:$AA$105))))</f>
        <v>247062183508.8139</v>
      </c>
      <c r="C234" s="39" t="s">
        <v>169</v>
      </c>
      <c r="D234">
        <f>VALUE(OTDS!F8)</f>
        <v>2006</v>
      </c>
      <c r="E234" s="168">
        <f>VALUE(OTDS!G8)</f>
        <v>2030</v>
      </c>
    </row>
    <row r="235" spans="1:5" x14ac:dyDescent="0.25">
      <c r="A235" s="168" t="str">
        <f t="shared" si="133"/>
        <v>Canada</v>
      </c>
      <c r="B235" s="51">
        <f>IF(COUNTIF(Developed,A235)=1,AVERAGE(INDEX(VoP_OTDS,MATCH(A235,$A$105:$A$116,0),MATCH($D$234,$A$105:$AA$105)):INDEX(VoP_OTDS,MATCH(A235,$A$105:$A$116,0),MATCH($E$234,$A$105:$AA$105))),AVERAGE(INDEX(VoP_OTDS,MATCH(A235,$A$105:$A$116,0),MATCH($D$235,$A$105:$AA$105)):INDEX(VoP_OTDS,MATCH(A235,$A$105:$A$116,0),MATCH($E$235,$A$105:$AA$105))))</f>
        <v>46215440926.602753</v>
      </c>
      <c r="C235" s="39" t="s">
        <v>170</v>
      </c>
      <c r="D235" s="168">
        <f>VALUE(OTDS!F15)</f>
        <v>2006</v>
      </c>
      <c r="E235" s="168">
        <f>VALUE(OTDS!G15)</f>
        <v>2030</v>
      </c>
    </row>
    <row r="236" spans="1:5" x14ac:dyDescent="0.25">
      <c r="A236" s="168" t="str">
        <f t="shared" si="133"/>
        <v>China</v>
      </c>
      <c r="B236" s="51">
        <f>IF(COUNTIF(Developed,A236)=1,AVERAGE(INDEX(VoP_OTDS,MATCH(A236,$A$105:$A$116,0),MATCH($D$234,$A$105:$AA$105)):INDEX(VoP_OTDS,MATCH(A236,$A$105:$A$116,0),MATCH($E$234,$A$105:$AA$105))),AVERAGE(INDEX(VoP_OTDS,MATCH(A236,$A$105:$A$116,0),MATCH($D$235,$A$105:$AA$105)):INDEX(VoP_OTDS,MATCH(A236,$A$105:$A$116,0),MATCH($E$235,$A$105:$AA$105))))</f>
        <v>1440760189842.5806</v>
      </c>
      <c r="D236" s="39" t="s">
        <v>495</v>
      </c>
    </row>
    <row r="237" spans="1:5" x14ac:dyDescent="0.25">
      <c r="A237" s="168" t="str">
        <f t="shared" si="133"/>
        <v>European Union</v>
      </c>
      <c r="B237" s="51">
        <f>IF(COUNTIF(Developed,A237)=1,AVERAGE(INDEX(VoP_OTDS,MATCH(A237,$A$105:$A$116,0),MATCH($D$234,$A$105:$AA$105)):INDEX(VoP_OTDS,MATCH(A237,$A$105:$A$116,0),MATCH($E$234,$A$105:$AA$105))),AVERAGE(INDEX(VoP_OTDS,MATCH(A237,$A$105:$A$116,0),MATCH($D$235,$A$105:$AA$105)):INDEX(VoP_OTDS,MATCH(A237,$A$105:$A$116,0),MATCH($E$235,$A$105:$AA$105))))</f>
        <v>490883802289.98273</v>
      </c>
      <c r="C237" s="39" t="s">
        <v>169</v>
      </c>
      <c r="D237" s="49" t="e">
        <f>IF(RIGHT(OTDS!$E$8,1)="%",VALUE(OTDS!$E$8),VALUE(OTDS!$E$8)/100)</f>
        <v>#VALUE!</v>
      </c>
    </row>
    <row r="238" spans="1:5" x14ac:dyDescent="0.25">
      <c r="A238" s="168" t="str">
        <f t="shared" si="133"/>
        <v>India</v>
      </c>
      <c r="B238" s="51">
        <f>IF(COUNTIF(Developed,A238)=1,AVERAGE(INDEX(VoP_OTDS,MATCH(A238,$A$105:$A$116,0),MATCH($D$234,$A$105:$AA$105)):INDEX(VoP_OTDS,MATCH(A238,$A$105:$A$116,0),MATCH($E$234,$A$105:$AA$105))),AVERAGE(INDEX(VoP_OTDS,MATCH(A238,$A$105:$A$116,0),MATCH($D$235,$A$105:$AA$105)):INDEX(VoP_OTDS,MATCH(A238,$A$105:$A$116,0),MATCH($E$235,$A$105:$AA$105))))</f>
        <v>300248677562.26776</v>
      </c>
      <c r="C238" s="39" t="s">
        <v>170</v>
      </c>
      <c r="D238" s="49" t="e">
        <f>IF(RIGHT(OTDS!$E$15,1)="%",VALUE(OTDS!$E$15),VALUE(OTDS!$E$15)/100)</f>
        <v>#VALUE!</v>
      </c>
    </row>
    <row r="239" spans="1:5" x14ac:dyDescent="0.25">
      <c r="A239" s="168" t="str">
        <f t="shared" si="133"/>
        <v>Indonesia</v>
      </c>
      <c r="B239" s="51">
        <f>IF(COUNTIF(Developed,A239)=1,AVERAGE(INDEX(VoP_OTDS,MATCH(A239,$A$105:$A$116,0),MATCH($D$234,$A$105:$AA$105)):INDEX(VoP_OTDS,MATCH(A239,$A$105:$A$116,0),MATCH($E$234,$A$105:$AA$105))),AVERAGE(INDEX(VoP_OTDS,MATCH(A239,$A$105:$A$116,0),MATCH($D$235,$A$105:$AA$105)):INDEX(VoP_OTDS,MATCH(A239,$A$105:$A$116,0),MATCH($E$235,$A$105:$AA$105))))</f>
        <v>142615997974.42178</v>
      </c>
      <c r="D239" s="49"/>
    </row>
    <row r="240" spans="1:5" x14ac:dyDescent="0.25">
      <c r="A240" s="168" t="str">
        <f t="shared" si="133"/>
        <v>Japan</v>
      </c>
      <c r="B240" s="51">
        <f>IF(COUNTIF(Developed,A240)=1,AVERAGE(INDEX(VoP_OTDS,MATCH(A240,$A$105:$A$116,0),MATCH($D$234,$A$105:$AA$105)):INDEX(VoP_OTDS,MATCH(A240,$A$105:$A$116,0),MATCH($E$234,$A$105:$AA$105))),AVERAGE(INDEX(VoP_OTDS,MATCH(A240,$A$105:$A$116,0),MATCH($D$235,$A$105:$AA$105)):INDEX(VoP_OTDS,MATCH(A240,$A$105:$A$116,0),MATCH($E$235,$A$105:$AA$105))))</f>
        <v>86814904872.335693</v>
      </c>
    </row>
    <row r="241" spans="1:27" x14ac:dyDescent="0.25">
      <c r="A241" s="168" t="str">
        <f t="shared" si="133"/>
        <v>United States of America</v>
      </c>
      <c r="B241" s="51">
        <f>IF(COUNTIF(Developed,A241)=1,AVERAGE(INDEX(VoP_OTDS,MATCH(A241,$A$105:$A$116,0),MATCH($D$234,$A$105:$AA$105)):INDEX(VoP_OTDS,MATCH(A241,$A$105:$A$116,0),MATCH($E$234,$A$105:$AA$105))),AVERAGE(INDEX(VoP_OTDS,MATCH(A241,$A$105:$A$116,0),MATCH($D$235,$A$105:$AA$105)):INDEX(VoP_OTDS,MATCH(A241,$A$105:$A$116,0),MATCH($E$235,$A$105:$AA$105))))</f>
        <v>363270362571.12256</v>
      </c>
    </row>
    <row r="242" spans="1:27" x14ac:dyDescent="0.25">
      <c r="A242" s="168">
        <f t="shared" si="133"/>
        <v>0</v>
      </c>
      <c r="B242" s="51">
        <f>IF(COUNTIF(Developed,A242)=1,AVERAGE(INDEX(VoP_OTDS,MATCH(A242,$A$105:$A$116,0),MATCH($D$234,$A$105:$AA$105)):INDEX(VoP_OTDS,MATCH(A242,$A$105:$A$116,0),MATCH($E$234,$A$105:$AA$105))),AVERAGE(INDEX(VoP_OTDS,MATCH(A242,$A$105:$A$116,0),MATCH($D$235,$A$105:$AA$105)):INDEX(VoP_OTDS,MATCH(A242,$A$105:$A$116,0),MATCH($E$235,$A$105:$AA$105))))</f>
        <v>0</v>
      </c>
    </row>
    <row r="244" spans="1:27" s="168" customFormat="1" x14ac:dyDescent="0.25">
      <c r="A244" s="203" t="s">
        <v>496</v>
      </c>
      <c r="B244" s="203"/>
      <c r="C244" s="203"/>
    </row>
    <row r="245" spans="1:27" x14ac:dyDescent="0.25">
      <c r="B245" t="s">
        <v>497</v>
      </c>
    </row>
    <row r="246" spans="1:27" x14ac:dyDescent="0.25">
      <c r="A246" t="str">
        <f>A233</f>
        <v>Australia</v>
      </c>
      <c r="B246" t="b">
        <f>IF(COUNTIF(Developed,A246)=1,OTDS!$B$8,OTDS!$B$15)</f>
        <v>0</v>
      </c>
      <c r="C246" s="86" t="e">
        <f>IF(COUNTIF(Developed,$A246)=1,$B233*$D$237,$B233*$D$238)+IF(COUNTIF(Developed,$A246)=1,$B233*$D$237,$B233*$D$238)*IF(COUNTIF(Developed,$A246)=1,VLOOKUP($E$185,Intervals_Developed,B$258-2004,FALSE),VLOOKUP($E$186,Intervals_Developing,B$258-2004,FALSE))</f>
        <v>#VALUE!</v>
      </c>
      <c r="D246" s="86" t="e">
        <f>IF(COUNTIF(Developed,$A246)=1,$B233*$D$237,$B233*$D$238)+IF(COUNTIF(Developed,$A246)=1,$B233*$D$237,$B233*$D$238)*IF(COUNTIF(Developed,$A246)=1,VLOOKUP($E$185,Intervals_Developed,C$258-2004,FALSE),VLOOKUP($E$186,Intervals_Developing,C$258-2004,FALSE))</f>
        <v>#VALUE!</v>
      </c>
      <c r="E246" s="86" t="e">
        <f>IF(COUNTIF(Developed,$A246)=1,$B233*$D$237,$B233*$D$238)+IF(COUNTIF(Developed,$A246)=1,$B233*$D$237,$B233*$D$238)*IF(COUNTIF(Developed,$A246)=1,VLOOKUP($E$185,Intervals_Developed,D$258-2004,FALSE),VLOOKUP($E$186,Intervals_Developing,D$258-2004,FALSE))</f>
        <v>#VALUE!</v>
      </c>
      <c r="F246" s="86" t="e">
        <f>IF(COUNTIF(Developed,$A246)=1,$B233*$D$237,$B233*$D$238)+IF(COUNTIF(Developed,$A246)=1,$B233*$D$237,$B233*$D$238)*IF(COUNTIF(Developed,$A246)=1,VLOOKUP($E$185,Intervals_Developed,E$258-2004,FALSE),VLOOKUP($E$186,Intervals_Developing,E$258-2004,FALSE))</f>
        <v>#VALUE!</v>
      </c>
      <c r="G246" s="86" t="e">
        <f>IF(COUNTIF(Developed,$A246)=1,$B233*$D$237,$B233*$D$238)+IF(COUNTIF(Developed,$A246)=1,$B233*$D$237,$B233*$D$238)*IF(COUNTIF(Developed,$A246)=1,VLOOKUP($E$185,Intervals_Developed,F$258-2004,FALSE),VLOOKUP($E$186,Intervals_Developing,F$258-2004,FALSE))</f>
        <v>#VALUE!</v>
      </c>
      <c r="H246" s="86" t="e">
        <f>IF(COUNTIF(Developed,$A246)=1,$B233*$D$237,$B233*$D$238)+IF(COUNTIF(Developed,$A246)=1,$B233*$D$237,$B233*$D$238)*IF(COUNTIF(Developed,$A246)=1,VLOOKUP($E$185,Intervals_Developed,G$258-2004,FALSE),VLOOKUP($E$186,Intervals_Developing,G$258-2004,FALSE))</f>
        <v>#VALUE!</v>
      </c>
      <c r="I246" s="86" t="e">
        <f>IF(COUNTIF(Developed,$A246)=1,$B233*$D$237,$B233*$D$238)+IF(COUNTIF(Developed,$A246)=1,$B233*$D$237,$B233*$D$238)*IF(COUNTIF(Developed,$A246)=1,VLOOKUP($E$185,Intervals_Developed,H$258-2004,FALSE),VLOOKUP($E$186,Intervals_Developing,H$258-2004,FALSE))</f>
        <v>#VALUE!</v>
      </c>
      <c r="J246" s="86" t="e">
        <f>IF(COUNTIF(Developed,$A246)=1,$B233*$D$237,$B233*$D$238)+IF(COUNTIF(Developed,$A246)=1,$B233*$D$237,$B233*$D$238)*IF(COUNTIF(Developed,$A246)=1,VLOOKUP($E$185,Intervals_Developed,I$258-2004,FALSE),VLOOKUP($E$186,Intervals_Developing,I$258-2004,FALSE))</f>
        <v>#VALUE!</v>
      </c>
      <c r="K246" s="86" t="e">
        <f>IF(COUNTIF(Developed,$A246)=1,$B233*$D$237,$B233*$D$238)+IF(COUNTIF(Developed,$A246)=1,$B233*$D$237,$B233*$D$238)*IF(COUNTIF(Developed,$A246)=1,VLOOKUP($E$185,Intervals_Developed,J$258-2004,FALSE),VLOOKUP($E$186,Intervals_Developing,J$258-2004,FALSE))</f>
        <v>#VALUE!</v>
      </c>
      <c r="L246" s="86" t="e">
        <f>IF(COUNTIF(Developed,$A246)=1,$B233*$D$237,$B233*$D$238)+IF(COUNTIF(Developed,$A246)=1,$B233*$D$237,$B233*$D$238)*IF(COUNTIF(Developed,$A246)=1,VLOOKUP($E$185,Intervals_Developed,K$258-2004,FALSE),VLOOKUP($E$186,Intervals_Developing,K$258-2004,FALSE))</f>
        <v>#VALUE!</v>
      </c>
      <c r="M246" s="86" t="e">
        <f>IF(COUNTIF(Developed,$A246)=1,$B233*$D$237,$B233*$D$238)+IF(COUNTIF(Developed,$A246)=1,$B233*$D$237,$B233*$D$238)*IF(COUNTIF(Developed,$A246)=1,VLOOKUP($E$185,Intervals_Developed,L$258-2004,FALSE),VLOOKUP($E$186,Intervals_Developing,L$258-2004,FALSE))</f>
        <v>#VALUE!</v>
      </c>
      <c r="N246" s="86" t="e">
        <f>IF(COUNTIF(Developed,$A246)=1,$B233*$D$237,$B233*$D$238)+IF(COUNTIF(Developed,$A246)=1,$B233*$D$237,$B233*$D$238)*IF(COUNTIF(Developed,$A246)=1,VLOOKUP($E$185,Intervals_Developed,M$258-2004,FALSE),VLOOKUP($E$186,Intervals_Developing,M$258-2004,FALSE))</f>
        <v>#VALUE!</v>
      </c>
      <c r="O246" s="86" t="e">
        <f>IF(COUNTIF(Developed,$A246)=1,$B233*$D$237,$B233*$D$238)+IF(COUNTIF(Developed,$A246)=1,$B233*$D$237,$B233*$D$238)*IF(COUNTIF(Developed,$A246)=1,VLOOKUP($E$185,Intervals_Developed,N$258-2004,FALSE),VLOOKUP($E$186,Intervals_Developing,N$258-2004,FALSE))</f>
        <v>#VALUE!</v>
      </c>
      <c r="P246" s="86" t="e">
        <f>IF(COUNTIF(Developed,$A246)=1,$B233*$D$237,$B233*$D$238)+IF(COUNTIF(Developed,$A246)=1,$B233*$D$237,$B233*$D$238)*IF(COUNTIF(Developed,$A246)=1,VLOOKUP($E$185,Intervals_Developed,O$258-2004,FALSE),VLOOKUP($E$186,Intervals_Developing,O$258-2004,FALSE))</f>
        <v>#VALUE!</v>
      </c>
      <c r="Q246" s="86" t="e">
        <f>IF(COUNTIF(Developed,$A246)=1,$B233*$D$237,$B233*$D$238)+IF(COUNTIF(Developed,$A246)=1,$B233*$D$237,$B233*$D$238)*IF(COUNTIF(Developed,$A246)=1,VLOOKUP($E$185,Intervals_Developed,P$258-2004,FALSE),VLOOKUP($E$186,Intervals_Developing,P$258-2004,FALSE))</f>
        <v>#VALUE!</v>
      </c>
      <c r="R246" s="86" t="e">
        <f>IF(COUNTIF(Developed,$A246)=1,$B233*$D$237,$B233*$D$238)+IF(COUNTIF(Developed,$A246)=1,$B233*$D$237,$B233*$D$238)*IF(COUNTIF(Developed,$A246)=1,VLOOKUP($E$185,Intervals_Developed,Q$258-2004,FALSE),VLOOKUP($E$186,Intervals_Developing,Q$258-2004,FALSE))</f>
        <v>#VALUE!</v>
      </c>
      <c r="S246" s="86" t="e">
        <f>IF(COUNTIF(Developed,$A246)=1,$B233*$D$237,$B233*$D$238)+IF(COUNTIF(Developed,$A246)=1,$B233*$D$237,$B233*$D$238)*IF(COUNTIF(Developed,$A246)=1,VLOOKUP($E$185,Intervals_Developed,R$258-2004,FALSE),VLOOKUP($E$186,Intervals_Developing,R$258-2004,FALSE))</f>
        <v>#VALUE!</v>
      </c>
      <c r="T246" s="86" t="e">
        <f>IF(COUNTIF(Developed,$A246)=1,$B233*$D$237,$B233*$D$238)+IF(COUNTIF(Developed,$A246)=1,$B233*$D$237,$B233*$D$238)*IF(COUNTIF(Developed,$A246)=1,VLOOKUP($E$185,Intervals_Developed,S$258-2004,FALSE),VLOOKUP($E$186,Intervals_Developing,S$258-2004,FALSE))</f>
        <v>#VALUE!</v>
      </c>
      <c r="U246" s="86" t="e">
        <f>IF(COUNTIF(Developed,$A246)=1,$B233*$D$237,$B233*$D$238)+IF(COUNTIF(Developed,$A246)=1,$B233*$D$237,$B233*$D$238)*IF(COUNTIF(Developed,$A246)=1,VLOOKUP($E$185,Intervals_Developed,T$258-2004,FALSE),VLOOKUP($E$186,Intervals_Developing,T$258-2004,FALSE))</f>
        <v>#VALUE!</v>
      </c>
      <c r="V246" s="86" t="e">
        <f>IF(COUNTIF(Developed,$A246)=1,$B233*$D$237,$B233*$D$238)+IF(COUNTIF(Developed,$A246)=1,$B233*$D$237,$B233*$D$238)*IF(COUNTIF(Developed,$A246)=1,VLOOKUP($E$185,Intervals_Developed,U$258-2004,FALSE),VLOOKUP($E$186,Intervals_Developing,U$258-2004,FALSE))</f>
        <v>#VALUE!</v>
      </c>
      <c r="W246" s="86" t="e">
        <f>IF(COUNTIF(Developed,$A246)=1,$B233*$D$237,$B233*$D$238)+IF(COUNTIF(Developed,$A246)=1,$B233*$D$237,$B233*$D$238)*IF(COUNTIF(Developed,$A246)=1,VLOOKUP($E$185,Intervals_Developed,V$258-2004,FALSE),VLOOKUP($E$186,Intervals_Developing,V$258-2004,FALSE))</f>
        <v>#VALUE!</v>
      </c>
      <c r="X246" s="86" t="e">
        <f>IF(COUNTIF(Developed,$A246)=1,$B233*$D$237,$B233*$D$238)+IF(COUNTIF(Developed,$A246)=1,$B233*$D$237,$B233*$D$238)*IF(COUNTIF(Developed,$A246)=1,VLOOKUP($E$185,Intervals_Developed,W$258-2004,FALSE),VLOOKUP($E$186,Intervals_Developing,W$258-2004,FALSE))</f>
        <v>#VALUE!</v>
      </c>
      <c r="Y246" s="86" t="e">
        <f>IF(COUNTIF(Developed,$A246)=1,$B233*$D$237,$B233*$D$238)+IF(COUNTIF(Developed,$A246)=1,$B233*$D$237,$B233*$D$238)*IF(COUNTIF(Developed,$A246)=1,VLOOKUP($E$185,Intervals_Developed,X$258-2004,FALSE),VLOOKUP($E$186,Intervals_Developing,X$258-2004,FALSE))</f>
        <v>#VALUE!</v>
      </c>
      <c r="Z246" s="86" t="e">
        <f>IF(COUNTIF(Developed,$A246)=1,$B233*$D$237,$B233*$D$238)+IF(COUNTIF(Developed,$A246)=1,$B233*$D$237,$B233*$D$238)*IF(COUNTIF(Developed,$A246)=1,VLOOKUP($E$185,Intervals_Developed,Y$258-2004,FALSE),VLOOKUP($E$186,Intervals_Developing,Y$258-2004,FALSE))</f>
        <v>#VALUE!</v>
      </c>
      <c r="AA246" s="86" t="e">
        <f>IF(COUNTIF(Developed,$A246)=1,$B233*$D$237,$B233*$D$238)+IF(COUNTIF(Developed,$A246)=1,$B233*$D$237,$B233*$D$238)*IF(COUNTIF(Developed,$A246)=1,VLOOKUP($E$185,Intervals_Developed,Z$258-2004,FALSE),VLOOKUP($E$186,Intervals_Developing,Z$258-2004,FALSE))</f>
        <v>#VALUE!</v>
      </c>
    </row>
    <row r="247" spans="1:27" x14ac:dyDescent="0.25">
      <c r="A247" s="168" t="str">
        <f t="shared" ref="A247:A254" si="134">A234</f>
        <v>Brazil</v>
      </c>
      <c r="B247" s="168" t="b">
        <f>IF(COUNTIF(Developed,A247)=1,OTDS!$B$8,OTDS!$B$15)</f>
        <v>0</v>
      </c>
      <c r="C247" s="86" t="e">
        <f>IF(COUNTIF(Developed,$A247)=1,$B234*$D$237,$B234*$D$238)+IF(COUNTIF(Developed,$A247)=1,$B234*$D$237,$B234*$D$238)*IF(COUNTIF(Developed,$A247)=1,VLOOKUP($E$185,Intervals_Developed,B$258-2004,FALSE),VLOOKUP($E$186,Intervals_Developing,B$258-2004,FALSE))</f>
        <v>#VALUE!</v>
      </c>
      <c r="D247" s="86" t="e">
        <f>IF(COUNTIF(Developed,$A247)=1,$B234*$D$237,$B234*$D$238)+IF(COUNTIF(Developed,$A247)=1,$B234*$D$237,$B234*$D$238)*IF(COUNTIF(Developed,$A247)=1,VLOOKUP($E$185,Intervals_Developed,C$258-2004,FALSE),VLOOKUP($E$186,Intervals_Developing,C$258-2004,FALSE))</f>
        <v>#VALUE!</v>
      </c>
      <c r="E247" s="86" t="e">
        <f>IF(COUNTIF(Developed,$A247)=1,$B234*$D$237,$B234*$D$238)+IF(COUNTIF(Developed,$A247)=1,$B234*$D$237,$B234*$D$238)*IF(COUNTIF(Developed,$A247)=1,VLOOKUP($E$185,Intervals_Developed,D$258-2004,FALSE),VLOOKUP($E$186,Intervals_Developing,D$258-2004,FALSE))</f>
        <v>#VALUE!</v>
      </c>
      <c r="F247" s="86" t="e">
        <f>IF(COUNTIF(Developed,$A247)=1,$B234*$D$237,$B234*$D$238)+IF(COUNTIF(Developed,$A247)=1,$B234*$D$237,$B234*$D$238)*IF(COUNTIF(Developed,$A247)=1,VLOOKUP($E$185,Intervals_Developed,E$258-2004,FALSE),VLOOKUP($E$186,Intervals_Developing,E$258-2004,FALSE))</f>
        <v>#VALUE!</v>
      </c>
      <c r="G247" s="86" t="e">
        <f>IF(COUNTIF(Developed,$A247)=1,$B234*$D$237,$B234*$D$238)+IF(COUNTIF(Developed,$A247)=1,$B234*$D$237,$B234*$D$238)*IF(COUNTIF(Developed,$A247)=1,VLOOKUP($E$185,Intervals_Developed,F$258-2004,FALSE),VLOOKUP($E$186,Intervals_Developing,F$258-2004,FALSE))</f>
        <v>#VALUE!</v>
      </c>
      <c r="H247" s="86" t="e">
        <f>IF(COUNTIF(Developed,$A247)=1,$B234*$D$237,$B234*$D$238)+IF(COUNTIF(Developed,$A247)=1,$B234*$D$237,$B234*$D$238)*IF(COUNTIF(Developed,$A247)=1,VLOOKUP($E$185,Intervals_Developed,G$258-2004,FALSE),VLOOKUP($E$186,Intervals_Developing,G$258-2004,FALSE))</f>
        <v>#VALUE!</v>
      </c>
      <c r="I247" s="86" t="e">
        <f>IF(COUNTIF(Developed,$A247)=1,$B234*$D$237,$B234*$D$238)+IF(COUNTIF(Developed,$A247)=1,$B234*$D$237,$B234*$D$238)*IF(COUNTIF(Developed,$A247)=1,VLOOKUP($E$185,Intervals_Developed,H$258-2004,FALSE),VLOOKUP($E$186,Intervals_Developing,H$258-2004,FALSE))</f>
        <v>#VALUE!</v>
      </c>
      <c r="J247" s="86" t="e">
        <f>IF(COUNTIF(Developed,$A247)=1,$B234*$D$237,$B234*$D$238)+IF(COUNTIF(Developed,$A247)=1,$B234*$D$237,$B234*$D$238)*IF(COUNTIF(Developed,$A247)=1,VLOOKUP($E$185,Intervals_Developed,I$258-2004,FALSE),VLOOKUP($E$186,Intervals_Developing,I$258-2004,FALSE))</f>
        <v>#VALUE!</v>
      </c>
      <c r="K247" s="86" t="e">
        <f>IF(COUNTIF(Developed,$A247)=1,$B234*$D$237,$B234*$D$238)+IF(COUNTIF(Developed,$A247)=1,$B234*$D$237,$B234*$D$238)*IF(COUNTIF(Developed,$A247)=1,VLOOKUP($E$185,Intervals_Developed,J$258-2004,FALSE),VLOOKUP($E$186,Intervals_Developing,J$258-2004,FALSE))</f>
        <v>#VALUE!</v>
      </c>
      <c r="L247" s="86" t="e">
        <f>IF(COUNTIF(Developed,$A247)=1,$B234*$D$237,$B234*$D$238)+IF(COUNTIF(Developed,$A247)=1,$B234*$D$237,$B234*$D$238)*IF(COUNTIF(Developed,$A247)=1,VLOOKUP($E$185,Intervals_Developed,K$258-2004,FALSE),VLOOKUP($E$186,Intervals_Developing,K$258-2004,FALSE))</f>
        <v>#VALUE!</v>
      </c>
      <c r="M247" s="86" t="e">
        <f>IF(COUNTIF(Developed,$A247)=1,$B234*$D$237,$B234*$D$238)+IF(COUNTIF(Developed,$A247)=1,$B234*$D$237,$B234*$D$238)*IF(COUNTIF(Developed,$A247)=1,VLOOKUP($E$185,Intervals_Developed,L$258-2004,FALSE),VLOOKUP($E$186,Intervals_Developing,L$258-2004,FALSE))</f>
        <v>#VALUE!</v>
      </c>
      <c r="N247" s="86" t="e">
        <f>IF(COUNTIF(Developed,$A247)=1,$B234*$D$237,$B234*$D$238)+IF(COUNTIF(Developed,$A247)=1,$B234*$D$237,$B234*$D$238)*IF(COUNTIF(Developed,$A247)=1,VLOOKUP($E$185,Intervals_Developed,M$258-2004,FALSE),VLOOKUP($E$186,Intervals_Developing,M$258-2004,FALSE))</f>
        <v>#VALUE!</v>
      </c>
      <c r="O247" s="86" t="e">
        <f>IF(COUNTIF(Developed,$A247)=1,$B234*$D$237,$B234*$D$238)+IF(COUNTIF(Developed,$A247)=1,$B234*$D$237,$B234*$D$238)*IF(COUNTIF(Developed,$A247)=1,VLOOKUP($E$185,Intervals_Developed,N$258-2004,FALSE),VLOOKUP($E$186,Intervals_Developing,N$258-2004,FALSE))</f>
        <v>#VALUE!</v>
      </c>
      <c r="P247" s="86" t="e">
        <f>IF(COUNTIF(Developed,$A247)=1,$B234*$D$237,$B234*$D$238)+IF(COUNTIF(Developed,$A247)=1,$B234*$D$237,$B234*$D$238)*IF(COUNTIF(Developed,$A247)=1,VLOOKUP($E$185,Intervals_Developed,O$258-2004,FALSE),VLOOKUP($E$186,Intervals_Developing,O$258-2004,FALSE))</f>
        <v>#VALUE!</v>
      </c>
      <c r="Q247" s="86" t="e">
        <f>IF(COUNTIF(Developed,$A247)=1,$B234*$D$237,$B234*$D$238)+IF(COUNTIF(Developed,$A247)=1,$B234*$D$237,$B234*$D$238)*IF(COUNTIF(Developed,$A247)=1,VLOOKUP($E$185,Intervals_Developed,P$258-2004,FALSE),VLOOKUP($E$186,Intervals_Developing,P$258-2004,FALSE))</f>
        <v>#VALUE!</v>
      </c>
      <c r="R247" s="86" t="e">
        <f>IF(COUNTIF(Developed,$A247)=1,$B234*$D$237,$B234*$D$238)+IF(COUNTIF(Developed,$A247)=1,$B234*$D$237,$B234*$D$238)*IF(COUNTIF(Developed,$A247)=1,VLOOKUP($E$185,Intervals_Developed,Q$258-2004,FALSE),VLOOKUP($E$186,Intervals_Developing,Q$258-2004,FALSE))</f>
        <v>#VALUE!</v>
      </c>
      <c r="S247" s="86" t="e">
        <f>IF(COUNTIF(Developed,$A247)=1,$B234*$D$237,$B234*$D$238)+IF(COUNTIF(Developed,$A247)=1,$B234*$D$237,$B234*$D$238)*IF(COUNTIF(Developed,$A247)=1,VLOOKUP($E$185,Intervals_Developed,R$258-2004,FALSE),VLOOKUP($E$186,Intervals_Developing,R$258-2004,FALSE))</f>
        <v>#VALUE!</v>
      </c>
      <c r="T247" s="86" t="e">
        <f>IF(COUNTIF(Developed,$A247)=1,$B234*$D$237,$B234*$D$238)+IF(COUNTIF(Developed,$A247)=1,$B234*$D$237,$B234*$D$238)*IF(COUNTIF(Developed,$A247)=1,VLOOKUP($E$185,Intervals_Developed,S$258-2004,FALSE),VLOOKUP($E$186,Intervals_Developing,S$258-2004,FALSE))</f>
        <v>#VALUE!</v>
      </c>
      <c r="U247" s="86" t="e">
        <f>IF(COUNTIF(Developed,$A247)=1,$B234*$D$237,$B234*$D$238)+IF(COUNTIF(Developed,$A247)=1,$B234*$D$237,$B234*$D$238)*IF(COUNTIF(Developed,$A247)=1,VLOOKUP($E$185,Intervals_Developed,T$258-2004,FALSE),VLOOKUP($E$186,Intervals_Developing,T$258-2004,FALSE))</f>
        <v>#VALUE!</v>
      </c>
      <c r="V247" s="86" t="e">
        <f>IF(COUNTIF(Developed,$A247)=1,$B234*$D$237,$B234*$D$238)+IF(COUNTIF(Developed,$A247)=1,$B234*$D$237,$B234*$D$238)*IF(COUNTIF(Developed,$A247)=1,VLOOKUP($E$185,Intervals_Developed,U$258-2004,FALSE),VLOOKUP($E$186,Intervals_Developing,U$258-2004,FALSE))</f>
        <v>#VALUE!</v>
      </c>
      <c r="W247" s="86" t="e">
        <f>IF(COUNTIF(Developed,$A247)=1,$B234*$D$237,$B234*$D$238)+IF(COUNTIF(Developed,$A247)=1,$B234*$D$237,$B234*$D$238)*IF(COUNTIF(Developed,$A247)=1,VLOOKUP($E$185,Intervals_Developed,V$258-2004,FALSE),VLOOKUP($E$186,Intervals_Developing,V$258-2004,FALSE))</f>
        <v>#VALUE!</v>
      </c>
      <c r="X247" s="86" t="e">
        <f>IF(COUNTIF(Developed,$A247)=1,$B234*$D$237,$B234*$D$238)+IF(COUNTIF(Developed,$A247)=1,$B234*$D$237,$B234*$D$238)*IF(COUNTIF(Developed,$A247)=1,VLOOKUP($E$185,Intervals_Developed,W$258-2004,FALSE),VLOOKUP($E$186,Intervals_Developing,W$258-2004,FALSE))</f>
        <v>#VALUE!</v>
      </c>
      <c r="Y247" s="86" t="e">
        <f>IF(COUNTIF(Developed,$A247)=1,$B234*$D$237,$B234*$D$238)+IF(COUNTIF(Developed,$A247)=1,$B234*$D$237,$B234*$D$238)*IF(COUNTIF(Developed,$A247)=1,VLOOKUP($E$185,Intervals_Developed,X$258-2004,FALSE),VLOOKUP($E$186,Intervals_Developing,X$258-2004,FALSE))</f>
        <v>#VALUE!</v>
      </c>
      <c r="Z247" s="86" t="e">
        <f>IF(COUNTIF(Developed,$A247)=1,$B234*$D$237,$B234*$D$238)+IF(COUNTIF(Developed,$A247)=1,$B234*$D$237,$B234*$D$238)*IF(COUNTIF(Developed,$A247)=1,VLOOKUP($E$185,Intervals_Developed,Y$258-2004,FALSE),VLOOKUP($E$186,Intervals_Developing,Y$258-2004,FALSE))</f>
        <v>#VALUE!</v>
      </c>
      <c r="AA247" s="86" t="e">
        <f>IF(COUNTIF(Developed,$A247)=1,$B234*$D$237,$B234*$D$238)+IF(COUNTIF(Developed,$A247)=1,$B234*$D$237,$B234*$D$238)*IF(COUNTIF(Developed,$A247)=1,VLOOKUP($E$185,Intervals_Developed,Z$258-2004,FALSE),VLOOKUP($E$186,Intervals_Developing,Z$258-2004,FALSE))</f>
        <v>#VALUE!</v>
      </c>
    </row>
    <row r="248" spans="1:27" x14ac:dyDescent="0.25">
      <c r="A248" s="168" t="str">
        <f t="shared" si="134"/>
        <v>Canada</v>
      </c>
      <c r="B248" s="168" t="b">
        <f>IF(COUNTIF(Developed,A248)=1,OTDS!$B$8,OTDS!$B$15)</f>
        <v>0</v>
      </c>
      <c r="C248" s="86" t="e">
        <f>IF(COUNTIF(Developed,$A248)=1,$B235*$D$237,$B235*$D$238)+IF(COUNTIF(Developed,$A248)=1,$B235*$D$237,$B235*$D$238)*IF(COUNTIF(Developed,$A248)=1,VLOOKUP($E$185,Intervals_Developed,B$258-2004,FALSE),VLOOKUP($E$186,Intervals_Developing,B$258-2004,FALSE))</f>
        <v>#VALUE!</v>
      </c>
      <c r="D248" s="86" t="e">
        <f>IF(COUNTIF(Developed,$A248)=1,$B235*$D$237,$B235*$D$238)+IF(COUNTIF(Developed,$A248)=1,$B235*$D$237,$B235*$D$238)*IF(COUNTIF(Developed,$A248)=1,VLOOKUP($E$185,Intervals_Developed,C$258-2004,FALSE),VLOOKUP($E$186,Intervals_Developing,C$258-2004,FALSE))</f>
        <v>#VALUE!</v>
      </c>
      <c r="E248" s="86" t="e">
        <f>IF(COUNTIF(Developed,$A248)=1,$B235*$D$237,$B235*$D$238)+IF(COUNTIF(Developed,$A248)=1,$B235*$D$237,$B235*$D$238)*IF(COUNTIF(Developed,$A248)=1,VLOOKUP($E$185,Intervals_Developed,D$258-2004,FALSE),VLOOKUP($E$186,Intervals_Developing,D$258-2004,FALSE))</f>
        <v>#VALUE!</v>
      </c>
      <c r="F248" s="86" t="e">
        <f>IF(COUNTIF(Developed,$A248)=1,$B235*$D$237,$B235*$D$238)+IF(COUNTIF(Developed,$A248)=1,$B235*$D$237,$B235*$D$238)*IF(COUNTIF(Developed,$A248)=1,VLOOKUP($E$185,Intervals_Developed,E$258-2004,FALSE),VLOOKUP($E$186,Intervals_Developing,E$258-2004,FALSE))</f>
        <v>#VALUE!</v>
      </c>
      <c r="G248" s="86" t="e">
        <f>IF(COUNTIF(Developed,$A248)=1,$B235*$D$237,$B235*$D$238)+IF(COUNTIF(Developed,$A248)=1,$B235*$D$237,$B235*$D$238)*IF(COUNTIF(Developed,$A248)=1,VLOOKUP($E$185,Intervals_Developed,F$258-2004,FALSE),VLOOKUP($E$186,Intervals_Developing,F$258-2004,FALSE))</f>
        <v>#VALUE!</v>
      </c>
      <c r="H248" s="86" t="e">
        <f>IF(COUNTIF(Developed,$A248)=1,$B235*$D$237,$B235*$D$238)+IF(COUNTIF(Developed,$A248)=1,$B235*$D$237,$B235*$D$238)*IF(COUNTIF(Developed,$A248)=1,VLOOKUP($E$185,Intervals_Developed,G$258-2004,FALSE),VLOOKUP($E$186,Intervals_Developing,G$258-2004,FALSE))</f>
        <v>#VALUE!</v>
      </c>
      <c r="I248" s="86" t="e">
        <f>IF(COUNTIF(Developed,$A248)=1,$B235*$D$237,$B235*$D$238)+IF(COUNTIF(Developed,$A248)=1,$B235*$D$237,$B235*$D$238)*IF(COUNTIF(Developed,$A248)=1,VLOOKUP($E$185,Intervals_Developed,H$258-2004,FALSE),VLOOKUP($E$186,Intervals_Developing,H$258-2004,FALSE))</f>
        <v>#VALUE!</v>
      </c>
      <c r="J248" s="86" t="e">
        <f>IF(COUNTIF(Developed,$A248)=1,$B235*$D$237,$B235*$D$238)+IF(COUNTIF(Developed,$A248)=1,$B235*$D$237,$B235*$D$238)*IF(COUNTIF(Developed,$A248)=1,VLOOKUP($E$185,Intervals_Developed,I$258-2004,FALSE),VLOOKUP($E$186,Intervals_Developing,I$258-2004,FALSE))</f>
        <v>#VALUE!</v>
      </c>
      <c r="K248" s="86" t="e">
        <f>IF(COUNTIF(Developed,$A248)=1,$B235*$D$237,$B235*$D$238)+IF(COUNTIF(Developed,$A248)=1,$B235*$D$237,$B235*$D$238)*IF(COUNTIF(Developed,$A248)=1,VLOOKUP($E$185,Intervals_Developed,J$258-2004,FALSE),VLOOKUP($E$186,Intervals_Developing,J$258-2004,FALSE))</f>
        <v>#VALUE!</v>
      </c>
      <c r="L248" s="86" t="e">
        <f>IF(COUNTIF(Developed,$A248)=1,$B235*$D$237,$B235*$D$238)+IF(COUNTIF(Developed,$A248)=1,$B235*$D$237,$B235*$D$238)*IF(COUNTIF(Developed,$A248)=1,VLOOKUP($E$185,Intervals_Developed,K$258-2004,FALSE),VLOOKUP($E$186,Intervals_Developing,K$258-2004,FALSE))</f>
        <v>#VALUE!</v>
      </c>
      <c r="M248" s="86" t="e">
        <f>IF(COUNTIF(Developed,$A248)=1,$B235*$D$237,$B235*$D$238)+IF(COUNTIF(Developed,$A248)=1,$B235*$D$237,$B235*$D$238)*IF(COUNTIF(Developed,$A248)=1,VLOOKUP($E$185,Intervals_Developed,L$258-2004,FALSE),VLOOKUP($E$186,Intervals_Developing,L$258-2004,FALSE))</f>
        <v>#VALUE!</v>
      </c>
      <c r="N248" s="86" t="e">
        <f>IF(COUNTIF(Developed,$A248)=1,$B235*$D$237,$B235*$D$238)+IF(COUNTIF(Developed,$A248)=1,$B235*$D$237,$B235*$D$238)*IF(COUNTIF(Developed,$A248)=1,VLOOKUP($E$185,Intervals_Developed,M$258-2004,FALSE),VLOOKUP($E$186,Intervals_Developing,M$258-2004,FALSE))</f>
        <v>#VALUE!</v>
      </c>
      <c r="O248" s="86" t="e">
        <f>IF(COUNTIF(Developed,$A248)=1,$B235*$D$237,$B235*$D$238)+IF(COUNTIF(Developed,$A248)=1,$B235*$D$237,$B235*$D$238)*IF(COUNTIF(Developed,$A248)=1,VLOOKUP($E$185,Intervals_Developed,N$258-2004,FALSE),VLOOKUP($E$186,Intervals_Developing,N$258-2004,FALSE))</f>
        <v>#VALUE!</v>
      </c>
      <c r="P248" s="86" t="e">
        <f>IF(COUNTIF(Developed,$A248)=1,$B235*$D$237,$B235*$D$238)+IF(COUNTIF(Developed,$A248)=1,$B235*$D$237,$B235*$D$238)*IF(COUNTIF(Developed,$A248)=1,VLOOKUP($E$185,Intervals_Developed,O$258-2004,FALSE),VLOOKUP($E$186,Intervals_Developing,O$258-2004,FALSE))</f>
        <v>#VALUE!</v>
      </c>
      <c r="Q248" s="86" t="e">
        <f>IF(COUNTIF(Developed,$A248)=1,$B235*$D$237,$B235*$D$238)+IF(COUNTIF(Developed,$A248)=1,$B235*$D$237,$B235*$D$238)*IF(COUNTIF(Developed,$A248)=1,VLOOKUP($E$185,Intervals_Developed,P$258-2004,FALSE),VLOOKUP($E$186,Intervals_Developing,P$258-2004,FALSE))</f>
        <v>#VALUE!</v>
      </c>
      <c r="R248" s="86" t="e">
        <f>IF(COUNTIF(Developed,$A248)=1,$B235*$D$237,$B235*$D$238)+IF(COUNTIF(Developed,$A248)=1,$B235*$D$237,$B235*$D$238)*IF(COUNTIF(Developed,$A248)=1,VLOOKUP($E$185,Intervals_Developed,Q$258-2004,FALSE),VLOOKUP($E$186,Intervals_Developing,Q$258-2004,FALSE))</f>
        <v>#VALUE!</v>
      </c>
      <c r="S248" s="86" t="e">
        <f>IF(COUNTIF(Developed,$A248)=1,$B235*$D$237,$B235*$D$238)+IF(COUNTIF(Developed,$A248)=1,$B235*$D$237,$B235*$D$238)*IF(COUNTIF(Developed,$A248)=1,VLOOKUP($E$185,Intervals_Developed,R$258-2004,FALSE),VLOOKUP($E$186,Intervals_Developing,R$258-2004,FALSE))</f>
        <v>#VALUE!</v>
      </c>
      <c r="T248" s="86" t="e">
        <f>IF(COUNTIF(Developed,$A248)=1,$B235*$D$237,$B235*$D$238)+IF(COUNTIF(Developed,$A248)=1,$B235*$D$237,$B235*$D$238)*IF(COUNTIF(Developed,$A248)=1,VLOOKUP($E$185,Intervals_Developed,S$258-2004,FALSE),VLOOKUP($E$186,Intervals_Developing,S$258-2004,FALSE))</f>
        <v>#VALUE!</v>
      </c>
      <c r="U248" s="86" t="e">
        <f>IF(COUNTIF(Developed,$A248)=1,$B235*$D$237,$B235*$D$238)+IF(COUNTIF(Developed,$A248)=1,$B235*$D$237,$B235*$D$238)*IF(COUNTIF(Developed,$A248)=1,VLOOKUP($E$185,Intervals_Developed,T$258-2004,FALSE),VLOOKUP($E$186,Intervals_Developing,T$258-2004,FALSE))</f>
        <v>#VALUE!</v>
      </c>
      <c r="V248" s="86" t="e">
        <f>IF(COUNTIF(Developed,$A248)=1,$B235*$D$237,$B235*$D$238)+IF(COUNTIF(Developed,$A248)=1,$B235*$D$237,$B235*$D$238)*IF(COUNTIF(Developed,$A248)=1,VLOOKUP($E$185,Intervals_Developed,U$258-2004,FALSE),VLOOKUP($E$186,Intervals_Developing,U$258-2004,FALSE))</f>
        <v>#VALUE!</v>
      </c>
      <c r="W248" s="86" t="e">
        <f>IF(COUNTIF(Developed,$A248)=1,$B235*$D$237,$B235*$D$238)+IF(COUNTIF(Developed,$A248)=1,$B235*$D$237,$B235*$D$238)*IF(COUNTIF(Developed,$A248)=1,VLOOKUP($E$185,Intervals_Developed,V$258-2004,FALSE),VLOOKUP($E$186,Intervals_Developing,V$258-2004,FALSE))</f>
        <v>#VALUE!</v>
      </c>
      <c r="X248" s="86" t="e">
        <f>IF(COUNTIF(Developed,$A248)=1,$B235*$D$237,$B235*$D$238)+IF(COUNTIF(Developed,$A248)=1,$B235*$D$237,$B235*$D$238)*IF(COUNTIF(Developed,$A248)=1,VLOOKUP($E$185,Intervals_Developed,W$258-2004,FALSE),VLOOKUP($E$186,Intervals_Developing,W$258-2004,FALSE))</f>
        <v>#VALUE!</v>
      </c>
      <c r="Y248" s="86" t="e">
        <f>IF(COUNTIF(Developed,$A248)=1,$B235*$D$237,$B235*$D$238)+IF(COUNTIF(Developed,$A248)=1,$B235*$D$237,$B235*$D$238)*IF(COUNTIF(Developed,$A248)=1,VLOOKUP($E$185,Intervals_Developed,X$258-2004,FALSE),VLOOKUP($E$186,Intervals_Developing,X$258-2004,FALSE))</f>
        <v>#VALUE!</v>
      </c>
      <c r="Z248" s="86" t="e">
        <f>IF(COUNTIF(Developed,$A248)=1,$B235*$D$237,$B235*$D$238)+IF(COUNTIF(Developed,$A248)=1,$B235*$D$237,$B235*$D$238)*IF(COUNTIF(Developed,$A248)=1,VLOOKUP($E$185,Intervals_Developed,Y$258-2004,FALSE),VLOOKUP($E$186,Intervals_Developing,Y$258-2004,FALSE))</f>
        <v>#VALUE!</v>
      </c>
      <c r="AA248" s="86" t="e">
        <f>IF(COUNTIF(Developed,$A248)=1,$B235*$D$237,$B235*$D$238)+IF(COUNTIF(Developed,$A248)=1,$B235*$D$237,$B235*$D$238)*IF(COUNTIF(Developed,$A248)=1,VLOOKUP($E$185,Intervals_Developed,Z$258-2004,FALSE),VLOOKUP($E$186,Intervals_Developing,Z$258-2004,FALSE))</f>
        <v>#VALUE!</v>
      </c>
    </row>
    <row r="249" spans="1:27" x14ac:dyDescent="0.25">
      <c r="A249" s="168" t="str">
        <f t="shared" si="134"/>
        <v>China</v>
      </c>
      <c r="B249" s="168" t="b">
        <f>IF(COUNTIF(Developed,A249)=1,OTDS!$B$8,OTDS!$B$15)</f>
        <v>0</v>
      </c>
      <c r="C249" s="86" t="e">
        <f>IF(COUNTIF(Developed,$A249)=1,$B236*$D$237,$B236*$D$238)+IF(COUNTIF(Developed,$A249)=1,$B236*$D$237,$B236*$D$238)*IF(COUNTIF(Developed,$A249)=1,VLOOKUP($E$185,Intervals_Developed,B$258-2004,FALSE),VLOOKUP($E$186,Intervals_Developing,B$258-2004,FALSE))</f>
        <v>#VALUE!</v>
      </c>
      <c r="D249" s="86" t="e">
        <f>IF(COUNTIF(Developed,$A249)=1,$B236*$D$237,$B236*$D$238)+IF(COUNTIF(Developed,$A249)=1,$B236*$D$237,$B236*$D$238)*IF(COUNTIF(Developed,$A249)=1,VLOOKUP($E$185,Intervals_Developed,C$258-2004,FALSE),VLOOKUP($E$186,Intervals_Developing,C$258-2004,FALSE))</f>
        <v>#VALUE!</v>
      </c>
      <c r="E249" s="86" t="e">
        <f>IF(COUNTIF(Developed,$A249)=1,$B236*$D$237,$B236*$D$238)+IF(COUNTIF(Developed,$A249)=1,$B236*$D$237,$B236*$D$238)*IF(COUNTIF(Developed,$A249)=1,VLOOKUP($E$185,Intervals_Developed,D$258-2004,FALSE),VLOOKUP($E$186,Intervals_Developing,D$258-2004,FALSE))</f>
        <v>#VALUE!</v>
      </c>
      <c r="F249" s="86" t="e">
        <f>IF(COUNTIF(Developed,$A249)=1,$B236*$D$237,$B236*$D$238)+IF(COUNTIF(Developed,$A249)=1,$B236*$D$237,$B236*$D$238)*IF(COUNTIF(Developed,$A249)=1,VLOOKUP($E$185,Intervals_Developed,E$258-2004,FALSE),VLOOKUP($E$186,Intervals_Developing,E$258-2004,FALSE))</f>
        <v>#VALUE!</v>
      </c>
      <c r="G249" s="86" t="e">
        <f>IF(COUNTIF(Developed,$A249)=1,$B236*$D$237,$B236*$D$238)+IF(COUNTIF(Developed,$A249)=1,$B236*$D$237,$B236*$D$238)*IF(COUNTIF(Developed,$A249)=1,VLOOKUP($E$185,Intervals_Developed,F$258-2004,FALSE),VLOOKUP($E$186,Intervals_Developing,F$258-2004,FALSE))</f>
        <v>#VALUE!</v>
      </c>
      <c r="H249" s="86" t="e">
        <f>IF(COUNTIF(Developed,$A249)=1,$B236*$D$237,$B236*$D$238)+IF(COUNTIF(Developed,$A249)=1,$B236*$D$237,$B236*$D$238)*IF(COUNTIF(Developed,$A249)=1,VLOOKUP($E$185,Intervals_Developed,G$258-2004,FALSE),VLOOKUP($E$186,Intervals_Developing,G$258-2004,FALSE))</f>
        <v>#VALUE!</v>
      </c>
      <c r="I249" s="86" t="e">
        <f>IF(COUNTIF(Developed,$A249)=1,$B236*$D$237,$B236*$D$238)+IF(COUNTIF(Developed,$A249)=1,$B236*$D$237,$B236*$D$238)*IF(COUNTIF(Developed,$A249)=1,VLOOKUP($E$185,Intervals_Developed,H$258-2004,FALSE),VLOOKUP($E$186,Intervals_Developing,H$258-2004,FALSE))</f>
        <v>#VALUE!</v>
      </c>
      <c r="J249" s="86" t="e">
        <f>IF(COUNTIF(Developed,$A249)=1,$B236*$D$237,$B236*$D$238)+IF(COUNTIF(Developed,$A249)=1,$B236*$D$237,$B236*$D$238)*IF(COUNTIF(Developed,$A249)=1,VLOOKUP($E$185,Intervals_Developed,I$258-2004,FALSE),VLOOKUP($E$186,Intervals_Developing,I$258-2004,FALSE))</f>
        <v>#VALUE!</v>
      </c>
      <c r="K249" s="86" t="e">
        <f>IF(COUNTIF(Developed,$A249)=1,$B236*$D$237,$B236*$D$238)+IF(COUNTIF(Developed,$A249)=1,$B236*$D$237,$B236*$D$238)*IF(COUNTIF(Developed,$A249)=1,VLOOKUP($E$185,Intervals_Developed,J$258-2004,FALSE),VLOOKUP($E$186,Intervals_Developing,J$258-2004,FALSE))</f>
        <v>#VALUE!</v>
      </c>
      <c r="L249" s="86" t="e">
        <f>IF(COUNTIF(Developed,$A249)=1,$B236*$D$237,$B236*$D$238)+IF(COUNTIF(Developed,$A249)=1,$B236*$D$237,$B236*$D$238)*IF(COUNTIF(Developed,$A249)=1,VLOOKUP($E$185,Intervals_Developed,K$258-2004,FALSE),VLOOKUP($E$186,Intervals_Developing,K$258-2004,FALSE))</f>
        <v>#VALUE!</v>
      </c>
      <c r="M249" s="86" t="e">
        <f>IF(COUNTIF(Developed,$A249)=1,$B236*$D$237,$B236*$D$238)+IF(COUNTIF(Developed,$A249)=1,$B236*$D$237,$B236*$D$238)*IF(COUNTIF(Developed,$A249)=1,VLOOKUP($E$185,Intervals_Developed,L$258-2004,FALSE),VLOOKUP($E$186,Intervals_Developing,L$258-2004,FALSE))</f>
        <v>#VALUE!</v>
      </c>
      <c r="N249" s="86" t="e">
        <f>IF(COUNTIF(Developed,$A249)=1,$B236*$D$237,$B236*$D$238)+IF(COUNTIF(Developed,$A249)=1,$B236*$D$237,$B236*$D$238)*IF(COUNTIF(Developed,$A249)=1,VLOOKUP($E$185,Intervals_Developed,M$258-2004,FALSE),VLOOKUP($E$186,Intervals_Developing,M$258-2004,FALSE))</f>
        <v>#VALUE!</v>
      </c>
      <c r="O249" s="86" t="e">
        <f>IF(COUNTIF(Developed,$A249)=1,$B236*$D$237,$B236*$D$238)+IF(COUNTIF(Developed,$A249)=1,$B236*$D$237,$B236*$D$238)*IF(COUNTIF(Developed,$A249)=1,VLOOKUP($E$185,Intervals_Developed,N$258-2004,FALSE),VLOOKUP($E$186,Intervals_Developing,N$258-2004,FALSE))</f>
        <v>#VALUE!</v>
      </c>
      <c r="P249" s="86" t="e">
        <f>IF(COUNTIF(Developed,$A249)=1,$B236*$D$237,$B236*$D$238)+IF(COUNTIF(Developed,$A249)=1,$B236*$D$237,$B236*$D$238)*IF(COUNTIF(Developed,$A249)=1,VLOOKUP($E$185,Intervals_Developed,O$258-2004,FALSE),VLOOKUP($E$186,Intervals_Developing,O$258-2004,FALSE))</f>
        <v>#VALUE!</v>
      </c>
      <c r="Q249" s="86" t="e">
        <f>IF(COUNTIF(Developed,$A249)=1,$B236*$D$237,$B236*$D$238)+IF(COUNTIF(Developed,$A249)=1,$B236*$D$237,$B236*$D$238)*IF(COUNTIF(Developed,$A249)=1,VLOOKUP($E$185,Intervals_Developed,P$258-2004,FALSE),VLOOKUP($E$186,Intervals_Developing,P$258-2004,FALSE))</f>
        <v>#VALUE!</v>
      </c>
      <c r="R249" s="86" t="e">
        <f>IF(COUNTIF(Developed,$A249)=1,$B236*$D$237,$B236*$D$238)+IF(COUNTIF(Developed,$A249)=1,$B236*$D$237,$B236*$D$238)*IF(COUNTIF(Developed,$A249)=1,VLOOKUP($E$185,Intervals_Developed,Q$258-2004,FALSE),VLOOKUP($E$186,Intervals_Developing,Q$258-2004,FALSE))</f>
        <v>#VALUE!</v>
      </c>
      <c r="S249" s="86" t="e">
        <f>IF(COUNTIF(Developed,$A249)=1,$B236*$D$237,$B236*$D$238)+IF(COUNTIF(Developed,$A249)=1,$B236*$D$237,$B236*$D$238)*IF(COUNTIF(Developed,$A249)=1,VLOOKUP($E$185,Intervals_Developed,R$258-2004,FALSE),VLOOKUP($E$186,Intervals_Developing,R$258-2004,FALSE))</f>
        <v>#VALUE!</v>
      </c>
      <c r="T249" s="86" t="e">
        <f>IF(COUNTIF(Developed,$A249)=1,$B236*$D$237,$B236*$D$238)+IF(COUNTIF(Developed,$A249)=1,$B236*$D$237,$B236*$D$238)*IF(COUNTIF(Developed,$A249)=1,VLOOKUP($E$185,Intervals_Developed,S$258-2004,FALSE),VLOOKUP($E$186,Intervals_Developing,S$258-2004,FALSE))</f>
        <v>#VALUE!</v>
      </c>
      <c r="U249" s="86" t="e">
        <f>IF(COUNTIF(Developed,$A249)=1,$B236*$D$237,$B236*$D$238)+IF(COUNTIF(Developed,$A249)=1,$B236*$D$237,$B236*$D$238)*IF(COUNTIF(Developed,$A249)=1,VLOOKUP($E$185,Intervals_Developed,T$258-2004,FALSE),VLOOKUP($E$186,Intervals_Developing,T$258-2004,FALSE))</f>
        <v>#VALUE!</v>
      </c>
      <c r="V249" s="86" t="e">
        <f>IF(COUNTIF(Developed,$A249)=1,$B236*$D$237,$B236*$D$238)+IF(COUNTIF(Developed,$A249)=1,$B236*$D$237,$B236*$D$238)*IF(COUNTIF(Developed,$A249)=1,VLOOKUP($E$185,Intervals_Developed,U$258-2004,FALSE),VLOOKUP($E$186,Intervals_Developing,U$258-2004,FALSE))</f>
        <v>#VALUE!</v>
      </c>
      <c r="W249" s="86" t="e">
        <f>IF(COUNTIF(Developed,$A249)=1,$B236*$D$237,$B236*$D$238)+IF(COUNTIF(Developed,$A249)=1,$B236*$D$237,$B236*$D$238)*IF(COUNTIF(Developed,$A249)=1,VLOOKUP($E$185,Intervals_Developed,V$258-2004,FALSE),VLOOKUP($E$186,Intervals_Developing,V$258-2004,FALSE))</f>
        <v>#VALUE!</v>
      </c>
      <c r="X249" s="86" t="e">
        <f>IF(COUNTIF(Developed,$A249)=1,$B236*$D$237,$B236*$D$238)+IF(COUNTIF(Developed,$A249)=1,$B236*$D$237,$B236*$D$238)*IF(COUNTIF(Developed,$A249)=1,VLOOKUP($E$185,Intervals_Developed,W$258-2004,FALSE),VLOOKUP($E$186,Intervals_Developing,W$258-2004,FALSE))</f>
        <v>#VALUE!</v>
      </c>
      <c r="Y249" s="86" t="e">
        <f>IF(COUNTIF(Developed,$A249)=1,$B236*$D$237,$B236*$D$238)+IF(COUNTIF(Developed,$A249)=1,$B236*$D$237,$B236*$D$238)*IF(COUNTIF(Developed,$A249)=1,VLOOKUP($E$185,Intervals_Developed,X$258-2004,FALSE),VLOOKUP($E$186,Intervals_Developing,X$258-2004,FALSE))</f>
        <v>#VALUE!</v>
      </c>
      <c r="Z249" s="86" t="e">
        <f>IF(COUNTIF(Developed,$A249)=1,$B236*$D$237,$B236*$D$238)+IF(COUNTIF(Developed,$A249)=1,$B236*$D$237,$B236*$D$238)*IF(COUNTIF(Developed,$A249)=1,VLOOKUP($E$185,Intervals_Developed,Y$258-2004,FALSE),VLOOKUP($E$186,Intervals_Developing,Y$258-2004,FALSE))</f>
        <v>#VALUE!</v>
      </c>
      <c r="AA249" s="86" t="e">
        <f>IF(COUNTIF(Developed,$A249)=1,$B236*$D$237,$B236*$D$238)+IF(COUNTIF(Developed,$A249)=1,$B236*$D$237,$B236*$D$238)*IF(COUNTIF(Developed,$A249)=1,VLOOKUP($E$185,Intervals_Developed,Z$258-2004,FALSE),VLOOKUP($E$186,Intervals_Developing,Z$258-2004,FALSE))</f>
        <v>#VALUE!</v>
      </c>
    </row>
    <row r="250" spans="1:27" x14ac:dyDescent="0.25">
      <c r="A250" s="168" t="str">
        <f t="shared" si="134"/>
        <v>European Union</v>
      </c>
      <c r="B250" s="168" t="b">
        <f>IF(COUNTIF(Developed,A250)=1,OTDS!$B$8,OTDS!$B$15)</f>
        <v>0</v>
      </c>
      <c r="C250" s="86" t="e">
        <f>IF(COUNTIF(Developed,$A250)=1,$B237*$D$237,$B237*$D$238)+IF(COUNTIF(Developed,$A250)=1,$B237*$D$237,$B237*$D$238)*IF(COUNTIF(Developed,$A250)=1,VLOOKUP($E$185,Intervals_Developed,B$258-2004,FALSE),VLOOKUP($E$186,Intervals_Developing,B$258-2004,FALSE))</f>
        <v>#VALUE!</v>
      </c>
      <c r="D250" s="86" t="e">
        <f>IF(COUNTIF(Developed,$A250)=1,$B237*$D$237,$B237*$D$238)+IF(COUNTIF(Developed,$A250)=1,$B237*$D$237,$B237*$D$238)*IF(COUNTIF(Developed,$A250)=1,VLOOKUP($E$185,Intervals_Developed,C$258-2004,FALSE),VLOOKUP($E$186,Intervals_Developing,C$258-2004,FALSE))</f>
        <v>#VALUE!</v>
      </c>
      <c r="E250" s="86" t="e">
        <f>IF(COUNTIF(Developed,$A250)=1,$B237*$D$237,$B237*$D$238)+IF(COUNTIF(Developed,$A250)=1,$B237*$D$237,$B237*$D$238)*IF(COUNTIF(Developed,$A250)=1,VLOOKUP($E$185,Intervals_Developed,D$258-2004,FALSE),VLOOKUP($E$186,Intervals_Developing,D$258-2004,FALSE))</f>
        <v>#VALUE!</v>
      </c>
      <c r="F250" s="86" t="e">
        <f>IF(COUNTIF(Developed,$A250)=1,$B237*$D$237,$B237*$D$238)+IF(COUNTIF(Developed,$A250)=1,$B237*$D$237,$B237*$D$238)*IF(COUNTIF(Developed,$A250)=1,VLOOKUP($E$185,Intervals_Developed,E$258-2004,FALSE),VLOOKUP($E$186,Intervals_Developing,E$258-2004,FALSE))</f>
        <v>#VALUE!</v>
      </c>
      <c r="G250" s="86" t="e">
        <f>IF(COUNTIF(Developed,$A250)=1,$B237*$D$237,$B237*$D$238)+IF(COUNTIF(Developed,$A250)=1,$B237*$D$237,$B237*$D$238)*IF(COUNTIF(Developed,$A250)=1,VLOOKUP($E$185,Intervals_Developed,F$258-2004,FALSE),VLOOKUP($E$186,Intervals_Developing,F$258-2004,FALSE))</f>
        <v>#VALUE!</v>
      </c>
      <c r="H250" s="86" t="e">
        <f>IF(COUNTIF(Developed,$A250)=1,$B237*$D$237,$B237*$D$238)+IF(COUNTIF(Developed,$A250)=1,$B237*$D$237,$B237*$D$238)*IF(COUNTIF(Developed,$A250)=1,VLOOKUP($E$185,Intervals_Developed,G$258-2004,FALSE),VLOOKUP($E$186,Intervals_Developing,G$258-2004,FALSE))</f>
        <v>#VALUE!</v>
      </c>
      <c r="I250" s="86" t="e">
        <f>IF(COUNTIF(Developed,$A250)=1,$B237*$D$237,$B237*$D$238)+IF(COUNTIF(Developed,$A250)=1,$B237*$D$237,$B237*$D$238)*IF(COUNTIF(Developed,$A250)=1,VLOOKUP($E$185,Intervals_Developed,H$258-2004,FALSE),VLOOKUP($E$186,Intervals_Developing,H$258-2004,FALSE))</f>
        <v>#VALUE!</v>
      </c>
      <c r="J250" s="86" t="e">
        <f>IF(COUNTIF(Developed,$A250)=1,$B237*$D$237,$B237*$D$238)+IF(COUNTIF(Developed,$A250)=1,$B237*$D$237,$B237*$D$238)*IF(COUNTIF(Developed,$A250)=1,VLOOKUP($E$185,Intervals_Developed,I$258-2004,FALSE),VLOOKUP($E$186,Intervals_Developing,I$258-2004,FALSE))</f>
        <v>#VALUE!</v>
      </c>
      <c r="K250" s="86" t="e">
        <f>IF(COUNTIF(Developed,$A250)=1,$B237*$D$237,$B237*$D$238)+IF(COUNTIF(Developed,$A250)=1,$B237*$D$237,$B237*$D$238)*IF(COUNTIF(Developed,$A250)=1,VLOOKUP($E$185,Intervals_Developed,J$258-2004,FALSE),VLOOKUP($E$186,Intervals_Developing,J$258-2004,FALSE))</f>
        <v>#VALUE!</v>
      </c>
      <c r="L250" s="86" t="e">
        <f>IF(COUNTIF(Developed,$A250)=1,$B237*$D$237,$B237*$D$238)+IF(COUNTIF(Developed,$A250)=1,$B237*$D$237,$B237*$D$238)*IF(COUNTIF(Developed,$A250)=1,VLOOKUP($E$185,Intervals_Developed,K$258-2004,FALSE),VLOOKUP($E$186,Intervals_Developing,K$258-2004,FALSE))</f>
        <v>#VALUE!</v>
      </c>
      <c r="M250" s="86" t="e">
        <f>IF(COUNTIF(Developed,$A250)=1,$B237*$D$237,$B237*$D$238)+IF(COUNTIF(Developed,$A250)=1,$B237*$D$237,$B237*$D$238)*IF(COUNTIF(Developed,$A250)=1,VLOOKUP($E$185,Intervals_Developed,L$258-2004,FALSE),VLOOKUP($E$186,Intervals_Developing,L$258-2004,FALSE))</f>
        <v>#VALUE!</v>
      </c>
      <c r="N250" s="86" t="e">
        <f>IF(COUNTIF(Developed,$A250)=1,$B237*$D$237,$B237*$D$238)+IF(COUNTIF(Developed,$A250)=1,$B237*$D$237,$B237*$D$238)*IF(COUNTIF(Developed,$A250)=1,VLOOKUP($E$185,Intervals_Developed,M$258-2004,FALSE),VLOOKUP($E$186,Intervals_Developing,M$258-2004,FALSE))</f>
        <v>#VALUE!</v>
      </c>
      <c r="O250" s="86" t="e">
        <f>IF(COUNTIF(Developed,$A250)=1,$B237*$D$237,$B237*$D$238)+IF(COUNTIF(Developed,$A250)=1,$B237*$D$237,$B237*$D$238)*IF(COUNTIF(Developed,$A250)=1,VLOOKUP($E$185,Intervals_Developed,N$258-2004,FALSE),VLOOKUP($E$186,Intervals_Developing,N$258-2004,FALSE))</f>
        <v>#VALUE!</v>
      </c>
      <c r="P250" s="86" t="e">
        <f>IF(COUNTIF(Developed,$A250)=1,$B237*$D$237,$B237*$D$238)+IF(COUNTIF(Developed,$A250)=1,$B237*$D$237,$B237*$D$238)*IF(COUNTIF(Developed,$A250)=1,VLOOKUP($E$185,Intervals_Developed,O$258-2004,FALSE),VLOOKUP($E$186,Intervals_Developing,O$258-2004,FALSE))</f>
        <v>#VALUE!</v>
      </c>
      <c r="Q250" s="86" t="e">
        <f>IF(COUNTIF(Developed,$A250)=1,$B237*$D$237,$B237*$D$238)+IF(COUNTIF(Developed,$A250)=1,$B237*$D$237,$B237*$D$238)*IF(COUNTIF(Developed,$A250)=1,VLOOKUP($E$185,Intervals_Developed,P$258-2004,FALSE),VLOOKUP($E$186,Intervals_Developing,P$258-2004,FALSE))</f>
        <v>#VALUE!</v>
      </c>
      <c r="R250" s="86" t="e">
        <f>IF(COUNTIF(Developed,$A250)=1,$B237*$D$237,$B237*$D$238)+IF(COUNTIF(Developed,$A250)=1,$B237*$D$237,$B237*$D$238)*IF(COUNTIF(Developed,$A250)=1,VLOOKUP($E$185,Intervals_Developed,Q$258-2004,FALSE),VLOOKUP($E$186,Intervals_Developing,Q$258-2004,FALSE))</f>
        <v>#VALUE!</v>
      </c>
      <c r="S250" s="86" t="e">
        <f>IF(COUNTIF(Developed,$A250)=1,$B237*$D$237,$B237*$D$238)+IF(COUNTIF(Developed,$A250)=1,$B237*$D$237,$B237*$D$238)*IF(COUNTIF(Developed,$A250)=1,VLOOKUP($E$185,Intervals_Developed,R$258-2004,FALSE),VLOOKUP($E$186,Intervals_Developing,R$258-2004,FALSE))</f>
        <v>#VALUE!</v>
      </c>
      <c r="T250" s="86" t="e">
        <f>IF(COUNTIF(Developed,$A250)=1,$B237*$D$237,$B237*$D$238)+IF(COUNTIF(Developed,$A250)=1,$B237*$D$237,$B237*$D$238)*IF(COUNTIF(Developed,$A250)=1,VLOOKUP($E$185,Intervals_Developed,S$258-2004,FALSE),VLOOKUP($E$186,Intervals_Developing,S$258-2004,FALSE))</f>
        <v>#VALUE!</v>
      </c>
      <c r="U250" s="86" t="e">
        <f>IF(COUNTIF(Developed,$A250)=1,$B237*$D$237,$B237*$D$238)+IF(COUNTIF(Developed,$A250)=1,$B237*$D$237,$B237*$D$238)*IF(COUNTIF(Developed,$A250)=1,VLOOKUP($E$185,Intervals_Developed,T$258-2004,FALSE),VLOOKUP($E$186,Intervals_Developing,T$258-2004,FALSE))</f>
        <v>#VALUE!</v>
      </c>
      <c r="V250" s="86" t="e">
        <f>IF(COUNTIF(Developed,$A250)=1,$B237*$D$237,$B237*$D$238)+IF(COUNTIF(Developed,$A250)=1,$B237*$D$237,$B237*$D$238)*IF(COUNTIF(Developed,$A250)=1,VLOOKUP($E$185,Intervals_Developed,U$258-2004,FALSE),VLOOKUP($E$186,Intervals_Developing,U$258-2004,FALSE))</f>
        <v>#VALUE!</v>
      </c>
      <c r="W250" s="86" t="e">
        <f>IF(COUNTIF(Developed,$A250)=1,$B237*$D$237,$B237*$D$238)+IF(COUNTIF(Developed,$A250)=1,$B237*$D$237,$B237*$D$238)*IF(COUNTIF(Developed,$A250)=1,VLOOKUP($E$185,Intervals_Developed,V$258-2004,FALSE),VLOOKUP($E$186,Intervals_Developing,V$258-2004,FALSE))</f>
        <v>#VALUE!</v>
      </c>
      <c r="X250" s="86" t="e">
        <f>IF(COUNTIF(Developed,$A250)=1,$B237*$D$237,$B237*$D$238)+IF(COUNTIF(Developed,$A250)=1,$B237*$D$237,$B237*$D$238)*IF(COUNTIF(Developed,$A250)=1,VLOOKUP($E$185,Intervals_Developed,W$258-2004,FALSE),VLOOKUP($E$186,Intervals_Developing,W$258-2004,FALSE))</f>
        <v>#VALUE!</v>
      </c>
      <c r="Y250" s="86" t="e">
        <f>IF(COUNTIF(Developed,$A250)=1,$B237*$D$237,$B237*$D$238)+IF(COUNTIF(Developed,$A250)=1,$B237*$D$237,$B237*$D$238)*IF(COUNTIF(Developed,$A250)=1,VLOOKUP($E$185,Intervals_Developed,X$258-2004,FALSE),VLOOKUP($E$186,Intervals_Developing,X$258-2004,FALSE))</f>
        <v>#VALUE!</v>
      </c>
      <c r="Z250" s="86" t="e">
        <f>IF(COUNTIF(Developed,$A250)=1,$B237*$D$237,$B237*$D$238)+IF(COUNTIF(Developed,$A250)=1,$B237*$D$237,$B237*$D$238)*IF(COUNTIF(Developed,$A250)=1,VLOOKUP($E$185,Intervals_Developed,Y$258-2004,FALSE),VLOOKUP($E$186,Intervals_Developing,Y$258-2004,FALSE))</f>
        <v>#VALUE!</v>
      </c>
      <c r="AA250" s="86" t="e">
        <f>IF(COUNTIF(Developed,$A250)=1,$B237*$D$237,$B237*$D$238)+IF(COUNTIF(Developed,$A250)=1,$B237*$D$237,$B237*$D$238)*IF(COUNTIF(Developed,$A250)=1,VLOOKUP($E$185,Intervals_Developed,Z$258-2004,FALSE),VLOOKUP($E$186,Intervals_Developing,Z$258-2004,FALSE))</f>
        <v>#VALUE!</v>
      </c>
    </row>
    <row r="251" spans="1:27" x14ac:dyDescent="0.25">
      <c r="A251" s="168" t="str">
        <f t="shared" si="134"/>
        <v>India</v>
      </c>
      <c r="B251" s="168" t="b">
        <f>IF(COUNTIF(Developed,A251)=1,OTDS!$B$8,OTDS!$B$15)</f>
        <v>0</v>
      </c>
      <c r="C251" s="86" t="e">
        <f>IF(COUNTIF(Developed,$A251)=1,$B238*$D$237,$B238*$D$238)+IF(COUNTIF(Developed,$A251)=1,$B238*$D$237,$B238*$D$238)*IF(COUNTIF(Developed,$A251)=1,VLOOKUP($E$185,Intervals_Developed,B$258-2004,FALSE),VLOOKUP($E$186,Intervals_Developing,B$258-2004,FALSE))</f>
        <v>#VALUE!</v>
      </c>
      <c r="D251" s="86" t="e">
        <f>IF(COUNTIF(Developed,$A251)=1,$B238*$D$237,$B238*$D$238)+IF(COUNTIF(Developed,$A251)=1,$B238*$D$237,$B238*$D$238)*IF(COUNTIF(Developed,$A251)=1,VLOOKUP($E$185,Intervals_Developed,C$258-2004,FALSE),VLOOKUP($E$186,Intervals_Developing,C$258-2004,FALSE))</f>
        <v>#VALUE!</v>
      </c>
      <c r="E251" s="86" t="e">
        <f>IF(COUNTIF(Developed,$A251)=1,$B238*$D$237,$B238*$D$238)+IF(COUNTIF(Developed,$A251)=1,$B238*$D$237,$B238*$D$238)*IF(COUNTIF(Developed,$A251)=1,VLOOKUP($E$185,Intervals_Developed,D$258-2004,FALSE),VLOOKUP($E$186,Intervals_Developing,D$258-2004,FALSE))</f>
        <v>#VALUE!</v>
      </c>
      <c r="F251" s="86" t="e">
        <f>IF(COUNTIF(Developed,$A251)=1,$B238*$D$237,$B238*$D$238)+IF(COUNTIF(Developed,$A251)=1,$B238*$D$237,$B238*$D$238)*IF(COUNTIF(Developed,$A251)=1,VLOOKUP($E$185,Intervals_Developed,E$258-2004,FALSE),VLOOKUP($E$186,Intervals_Developing,E$258-2004,FALSE))</f>
        <v>#VALUE!</v>
      </c>
      <c r="G251" s="86" t="e">
        <f>IF(COUNTIF(Developed,$A251)=1,$B238*$D$237,$B238*$D$238)+IF(COUNTIF(Developed,$A251)=1,$B238*$D$237,$B238*$D$238)*IF(COUNTIF(Developed,$A251)=1,VLOOKUP($E$185,Intervals_Developed,F$258-2004,FALSE),VLOOKUP($E$186,Intervals_Developing,F$258-2004,FALSE))</f>
        <v>#VALUE!</v>
      </c>
      <c r="H251" s="86" t="e">
        <f>IF(COUNTIF(Developed,$A251)=1,$B238*$D$237,$B238*$D$238)+IF(COUNTIF(Developed,$A251)=1,$B238*$D$237,$B238*$D$238)*IF(COUNTIF(Developed,$A251)=1,VLOOKUP($E$185,Intervals_Developed,G$258-2004,FALSE),VLOOKUP($E$186,Intervals_Developing,G$258-2004,FALSE))</f>
        <v>#VALUE!</v>
      </c>
      <c r="I251" s="86" t="e">
        <f>IF(COUNTIF(Developed,$A251)=1,$B238*$D$237,$B238*$D$238)+IF(COUNTIF(Developed,$A251)=1,$B238*$D$237,$B238*$D$238)*IF(COUNTIF(Developed,$A251)=1,VLOOKUP($E$185,Intervals_Developed,H$258-2004,FALSE),VLOOKUP($E$186,Intervals_Developing,H$258-2004,FALSE))</f>
        <v>#VALUE!</v>
      </c>
      <c r="J251" s="86" t="e">
        <f>IF(COUNTIF(Developed,$A251)=1,$B238*$D$237,$B238*$D$238)+IF(COUNTIF(Developed,$A251)=1,$B238*$D$237,$B238*$D$238)*IF(COUNTIF(Developed,$A251)=1,VLOOKUP($E$185,Intervals_Developed,I$258-2004,FALSE),VLOOKUP($E$186,Intervals_Developing,I$258-2004,FALSE))</f>
        <v>#VALUE!</v>
      </c>
      <c r="K251" s="86" t="e">
        <f>IF(COUNTIF(Developed,$A251)=1,$B238*$D$237,$B238*$D$238)+IF(COUNTIF(Developed,$A251)=1,$B238*$D$237,$B238*$D$238)*IF(COUNTIF(Developed,$A251)=1,VLOOKUP($E$185,Intervals_Developed,J$258-2004,FALSE),VLOOKUP($E$186,Intervals_Developing,J$258-2004,FALSE))</f>
        <v>#VALUE!</v>
      </c>
      <c r="L251" s="86" t="e">
        <f>IF(COUNTIF(Developed,$A251)=1,$B238*$D$237,$B238*$D$238)+IF(COUNTIF(Developed,$A251)=1,$B238*$D$237,$B238*$D$238)*IF(COUNTIF(Developed,$A251)=1,VLOOKUP($E$185,Intervals_Developed,K$258-2004,FALSE),VLOOKUP($E$186,Intervals_Developing,K$258-2004,FALSE))</f>
        <v>#VALUE!</v>
      </c>
      <c r="M251" s="86" t="e">
        <f>IF(COUNTIF(Developed,$A251)=1,$B238*$D$237,$B238*$D$238)+IF(COUNTIF(Developed,$A251)=1,$B238*$D$237,$B238*$D$238)*IF(COUNTIF(Developed,$A251)=1,VLOOKUP($E$185,Intervals_Developed,L$258-2004,FALSE),VLOOKUP($E$186,Intervals_Developing,L$258-2004,FALSE))</f>
        <v>#VALUE!</v>
      </c>
      <c r="N251" s="86" t="e">
        <f>IF(COUNTIF(Developed,$A251)=1,$B238*$D$237,$B238*$D$238)+IF(COUNTIF(Developed,$A251)=1,$B238*$D$237,$B238*$D$238)*IF(COUNTIF(Developed,$A251)=1,VLOOKUP($E$185,Intervals_Developed,M$258-2004,FALSE),VLOOKUP($E$186,Intervals_Developing,M$258-2004,FALSE))</f>
        <v>#VALUE!</v>
      </c>
      <c r="O251" s="86" t="e">
        <f>IF(COUNTIF(Developed,$A251)=1,$B238*$D$237,$B238*$D$238)+IF(COUNTIF(Developed,$A251)=1,$B238*$D$237,$B238*$D$238)*IF(COUNTIF(Developed,$A251)=1,VLOOKUP($E$185,Intervals_Developed,N$258-2004,FALSE),VLOOKUP($E$186,Intervals_Developing,N$258-2004,FALSE))</f>
        <v>#VALUE!</v>
      </c>
      <c r="P251" s="86" t="e">
        <f>IF(COUNTIF(Developed,$A251)=1,$B238*$D$237,$B238*$D$238)+IF(COUNTIF(Developed,$A251)=1,$B238*$D$237,$B238*$D$238)*IF(COUNTIF(Developed,$A251)=1,VLOOKUP($E$185,Intervals_Developed,O$258-2004,FALSE),VLOOKUP($E$186,Intervals_Developing,O$258-2004,FALSE))</f>
        <v>#VALUE!</v>
      </c>
      <c r="Q251" s="86" t="e">
        <f>IF(COUNTIF(Developed,$A251)=1,$B238*$D$237,$B238*$D$238)+IF(COUNTIF(Developed,$A251)=1,$B238*$D$237,$B238*$D$238)*IF(COUNTIF(Developed,$A251)=1,VLOOKUP($E$185,Intervals_Developed,P$258-2004,FALSE),VLOOKUP($E$186,Intervals_Developing,P$258-2004,FALSE))</f>
        <v>#VALUE!</v>
      </c>
      <c r="R251" s="86" t="e">
        <f>IF(COUNTIF(Developed,$A251)=1,$B238*$D$237,$B238*$D$238)+IF(COUNTIF(Developed,$A251)=1,$B238*$D$237,$B238*$D$238)*IF(COUNTIF(Developed,$A251)=1,VLOOKUP($E$185,Intervals_Developed,Q$258-2004,FALSE),VLOOKUP($E$186,Intervals_Developing,Q$258-2004,FALSE))</f>
        <v>#VALUE!</v>
      </c>
      <c r="S251" s="86" t="e">
        <f>IF(COUNTIF(Developed,$A251)=1,$B238*$D$237,$B238*$D$238)+IF(COUNTIF(Developed,$A251)=1,$B238*$D$237,$B238*$D$238)*IF(COUNTIF(Developed,$A251)=1,VLOOKUP($E$185,Intervals_Developed,R$258-2004,FALSE),VLOOKUP($E$186,Intervals_Developing,R$258-2004,FALSE))</f>
        <v>#VALUE!</v>
      </c>
      <c r="T251" s="86" t="e">
        <f>IF(COUNTIF(Developed,$A251)=1,$B238*$D$237,$B238*$D$238)+IF(COUNTIF(Developed,$A251)=1,$B238*$D$237,$B238*$D$238)*IF(COUNTIF(Developed,$A251)=1,VLOOKUP($E$185,Intervals_Developed,S$258-2004,FALSE),VLOOKUP($E$186,Intervals_Developing,S$258-2004,FALSE))</f>
        <v>#VALUE!</v>
      </c>
      <c r="U251" s="86" t="e">
        <f>IF(COUNTIF(Developed,$A251)=1,$B238*$D$237,$B238*$D$238)+IF(COUNTIF(Developed,$A251)=1,$B238*$D$237,$B238*$D$238)*IF(COUNTIF(Developed,$A251)=1,VLOOKUP($E$185,Intervals_Developed,T$258-2004,FALSE),VLOOKUP($E$186,Intervals_Developing,T$258-2004,FALSE))</f>
        <v>#VALUE!</v>
      </c>
      <c r="V251" s="86" t="e">
        <f>IF(COUNTIF(Developed,$A251)=1,$B238*$D$237,$B238*$D$238)+IF(COUNTIF(Developed,$A251)=1,$B238*$D$237,$B238*$D$238)*IF(COUNTIF(Developed,$A251)=1,VLOOKUP($E$185,Intervals_Developed,U$258-2004,FALSE),VLOOKUP($E$186,Intervals_Developing,U$258-2004,FALSE))</f>
        <v>#VALUE!</v>
      </c>
      <c r="W251" s="86" t="e">
        <f>IF(COUNTIF(Developed,$A251)=1,$B238*$D$237,$B238*$D$238)+IF(COUNTIF(Developed,$A251)=1,$B238*$D$237,$B238*$D$238)*IF(COUNTIF(Developed,$A251)=1,VLOOKUP($E$185,Intervals_Developed,V$258-2004,FALSE),VLOOKUP($E$186,Intervals_Developing,V$258-2004,FALSE))</f>
        <v>#VALUE!</v>
      </c>
      <c r="X251" s="86" t="e">
        <f>IF(COUNTIF(Developed,$A251)=1,$B238*$D$237,$B238*$D$238)+IF(COUNTIF(Developed,$A251)=1,$B238*$D$237,$B238*$D$238)*IF(COUNTIF(Developed,$A251)=1,VLOOKUP($E$185,Intervals_Developed,W$258-2004,FALSE),VLOOKUP($E$186,Intervals_Developing,W$258-2004,FALSE))</f>
        <v>#VALUE!</v>
      </c>
      <c r="Y251" s="86" t="e">
        <f>IF(COUNTIF(Developed,$A251)=1,$B238*$D$237,$B238*$D$238)+IF(COUNTIF(Developed,$A251)=1,$B238*$D$237,$B238*$D$238)*IF(COUNTIF(Developed,$A251)=1,VLOOKUP($E$185,Intervals_Developed,X$258-2004,FALSE),VLOOKUP($E$186,Intervals_Developing,X$258-2004,FALSE))</f>
        <v>#VALUE!</v>
      </c>
      <c r="Z251" s="86" t="e">
        <f>IF(COUNTIF(Developed,$A251)=1,$B238*$D$237,$B238*$D$238)+IF(COUNTIF(Developed,$A251)=1,$B238*$D$237,$B238*$D$238)*IF(COUNTIF(Developed,$A251)=1,VLOOKUP($E$185,Intervals_Developed,Y$258-2004,FALSE),VLOOKUP($E$186,Intervals_Developing,Y$258-2004,FALSE))</f>
        <v>#VALUE!</v>
      </c>
      <c r="AA251" s="86" t="e">
        <f>IF(COUNTIF(Developed,$A251)=1,$B238*$D$237,$B238*$D$238)+IF(COUNTIF(Developed,$A251)=1,$B238*$D$237,$B238*$D$238)*IF(COUNTIF(Developed,$A251)=1,VLOOKUP($E$185,Intervals_Developed,Z$258-2004,FALSE),VLOOKUP($E$186,Intervals_Developing,Z$258-2004,FALSE))</f>
        <v>#VALUE!</v>
      </c>
    </row>
    <row r="252" spans="1:27" x14ac:dyDescent="0.25">
      <c r="A252" s="168" t="str">
        <f t="shared" si="134"/>
        <v>Indonesia</v>
      </c>
      <c r="B252" s="168" t="b">
        <f>IF(COUNTIF(Developed,A252)=1,OTDS!$B$8,OTDS!$B$15)</f>
        <v>0</v>
      </c>
      <c r="C252" s="86" t="e">
        <f>IF(COUNTIF(Developed,$A252)=1,$B239*$D$237,$B239*$D$238)+IF(COUNTIF(Developed,$A252)=1,$B239*$D$237,$B239*$D$238)*IF(COUNTIF(Developed,$A252)=1,VLOOKUP($E$185,Intervals_Developed,B$258-2004,FALSE),VLOOKUP($E$186,Intervals_Developing,B$258-2004,FALSE))</f>
        <v>#VALUE!</v>
      </c>
      <c r="D252" s="86" t="e">
        <f>IF(COUNTIF(Developed,$A252)=1,$B239*$D$237,$B239*$D$238)+IF(COUNTIF(Developed,$A252)=1,$B239*$D$237,$B239*$D$238)*IF(COUNTIF(Developed,$A252)=1,VLOOKUP($E$185,Intervals_Developed,C$258-2004,FALSE),VLOOKUP($E$186,Intervals_Developing,C$258-2004,FALSE))</f>
        <v>#VALUE!</v>
      </c>
      <c r="E252" s="86" t="e">
        <f>IF(COUNTIF(Developed,$A252)=1,$B239*$D$237,$B239*$D$238)+IF(COUNTIF(Developed,$A252)=1,$B239*$D$237,$B239*$D$238)*IF(COUNTIF(Developed,$A252)=1,VLOOKUP($E$185,Intervals_Developed,D$258-2004,FALSE),VLOOKUP($E$186,Intervals_Developing,D$258-2004,FALSE))</f>
        <v>#VALUE!</v>
      </c>
      <c r="F252" s="86" t="e">
        <f>IF(COUNTIF(Developed,$A252)=1,$B239*$D$237,$B239*$D$238)+IF(COUNTIF(Developed,$A252)=1,$B239*$D$237,$B239*$D$238)*IF(COUNTIF(Developed,$A252)=1,VLOOKUP($E$185,Intervals_Developed,E$258-2004,FALSE),VLOOKUP($E$186,Intervals_Developing,E$258-2004,FALSE))</f>
        <v>#VALUE!</v>
      </c>
      <c r="G252" s="86" t="e">
        <f>IF(COUNTIF(Developed,$A252)=1,$B239*$D$237,$B239*$D$238)+IF(COUNTIF(Developed,$A252)=1,$B239*$D$237,$B239*$D$238)*IF(COUNTIF(Developed,$A252)=1,VLOOKUP($E$185,Intervals_Developed,F$258-2004,FALSE),VLOOKUP($E$186,Intervals_Developing,F$258-2004,FALSE))</f>
        <v>#VALUE!</v>
      </c>
      <c r="H252" s="86" t="e">
        <f>IF(COUNTIF(Developed,$A252)=1,$B239*$D$237,$B239*$D$238)+IF(COUNTIF(Developed,$A252)=1,$B239*$D$237,$B239*$D$238)*IF(COUNTIF(Developed,$A252)=1,VLOOKUP($E$185,Intervals_Developed,G$258-2004,FALSE),VLOOKUP($E$186,Intervals_Developing,G$258-2004,FALSE))</f>
        <v>#VALUE!</v>
      </c>
      <c r="I252" s="86" t="e">
        <f>IF(COUNTIF(Developed,$A252)=1,$B239*$D$237,$B239*$D$238)+IF(COUNTIF(Developed,$A252)=1,$B239*$D$237,$B239*$D$238)*IF(COUNTIF(Developed,$A252)=1,VLOOKUP($E$185,Intervals_Developed,H$258-2004,FALSE),VLOOKUP($E$186,Intervals_Developing,H$258-2004,FALSE))</f>
        <v>#VALUE!</v>
      </c>
      <c r="J252" s="86" t="e">
        <f>IF(COUNTIF(Developed,$A252)=1,$B239*$D$237,$B239*$D$238)+IF(COUNTIF(Developed,$A252)=1,$B239*$D$237,$B239*$D$238)*IF(COUNTIF(Developed,$A252)=1,VLOOKUP($E$185,Intervals_Developed,I$258-2004,FALSE),VLOOKUP($E$186,Intervals_Developing,I$258-2004,FALSE))</f>
        <v>#VALUE!</v>
      </c>
      <c r="K252" s="86" t="e">
        <f>IF(COUNTIF(Developed,$A252)=1,$B239*$D$237,$B239*$D$238)+IF(COUNTIF(Developed,$A252)=1,$B239*$D$237,$B239*$D$238)*IF(COUNTIF(Developed,$A252)=1,VLOOKUP($E$185,Intervals_Developed,J$258-2004,FALSE),VLOOKUP($E$186,Intervals_Developing,J$258-2004,FALSE))</f>
        <v>#VALUE!</v>
      </c>
      <c r="L252" s="86" t="e">
        <f>IF(COUNTIF(Developed,$A252)=1,$B239*$D$237,$B239*$D$238)+IF(COUNTIF(Developed,$A252)=1,$B239*$D$237,$B239*$D$238)*IF(COUNTIF(Developed,$A252)=1,VLOOKUP($E$185,Intervals_Developed,K$258-2004,FALSE),VLOOKUP($E$186,Intervals_Developing,K$258-2004,FALSE))</f>
        <v>#VALUE!</v>
      </c>
      <c r="M252" s="86" t="e">
        <f>IF(COUNTIF(Developed,$A252)=1,$B239*$D$237,$B239*$D$238)+IF(COUNTIF(Developed,$A252)=1,$B239*$D$237,$B239*$D$238)*IF(COUNTIF(Developed,$A252)=1,VLOOKUP($E$185,Intervals_Developed,L$258-2004,FALSE),VLOOKUP($E$186,Intervals_Developing,L$258-2004,FALSE))</f>
        <v>#VALUE!</v>
      </c>
      <c r="N252" s="86" t="e">
        <f>IF(COUNTIF(Developed,$A252)=1,$B239*$D$237,$B239*$D$238)+IF(COUNTIF(Developed,$A252)=1,$B239*$D$237,$B239*$D$238)*IF(COUNTIF(Developed,$A252)=1,VLOOKUP($E$185,Intervals_Developed,M$258-2004,FALSE),VLOOKUP($E$186,Intervals_Developing,M$258-2004,FALSE))</f>
        <v>#VALUE!</v>
      </c>
      <c r="O252" s="86" t="e">
        <f>IF(COUNTIF(Developed,$A252)=1,$B239*$D$237,$B239*$D$238)+IF(COUNTIF(Developed,$A252)=1,$B239*$D$237,$B239*$D$238)*IF(COUNTIF(Developed,$A252)=1,VLOOKUP($E$185,Intervals_Developed,N$258-2004,FALSE),VLOOKUP($E$186,Intervals_Developing,N$258-2004,FALSE))</f>
        <v>#VALUE!</v>
      </c>
      <c r="P252" s="86" t="e">
        <f>IF(COUNTIF(Developed,$A252)=1,$B239*$D$237,$B239*$D$238)+IF(COUNTIF(Developed,$A252)=1,$B239*$D$237,$B239*$D$238)*IF(COUNTIF(Developed,$A252)=1,VLOOKUP($E$185,Intervals_Developed,O$258-2004,FALSE),VLOOKUP($E$186,Intervals_Developing,O$258-2004,FALSE))</f>
        <v>#VALUE!</v>
      </c>
      <c r="Q252" s="86" t="e">
        <f>IF(COUNTIF(Developed,$A252)=1,$B239*$D$237,$B239*$D$238)+IF(COUNTIF(Developed,$A252)=1,$B239*$D$237,$B239*$D$238)*IF(COUNTIF(Developed,$A252)=1,VLOOKUP($E$185,Intervals_Developed,P$258-2004,FALSE),VLOOKUP($E$186,Intervals_Developing,P$258-2004,FALSE))</f>
        <v>#VALUE!</v>
      </c>
      <c r="R252" s="86" t="e">
        <f>IF(COUNTIF(Developed,$A252)=1,$B239*$D$237,$B239*$D$238)+IF(COUNTIF(Developed,$A252)=1,$B239*$D$237,$B239*$D$238)*IF(COUNTIF(Developed,$A252)=1,VLOOKUP($E$185,Intervals_Developed,Q$258-2004,FALSE),VLOOKUP($E$186,Intervals_Developing,Q$258-2004,FALSE))</f>
        <v>#VALUE!</v>
      </c>
      <c r="S252" s="86" t="e">
        <f>IF(COUNTIF(Developed,$A252)=1,$B239*$D$237,$B239*$D$238)+IF(COUNTIF(Developed,$A252)=1,$B239*$D$237,$B239*$D$238)*IF(COUNTIF(Developed,$A252)=1,VLOOKUP($E$185,Intervals_Developed,R$258-2004,FALSE),VLOOKUP($E$186,Intervals_Developing,R$258-2004,FALSE))</f>
        <v>#VALUE!</v>
      </c>
      <c r="T252" s="86" t="e">
        <f>IF(COUNTIF(Developed,$A252)=1,$B239*$D$237,$B239*$D$238)+IF(COUNTIF(Developed,$A252)=1,$B239*$D$237,$B239*$D$238)*IF(COUNTIF(Developed,$A252)=1,VLOOKUP($E$185,Intervals_Developed,S$258-2004,FALSE),VLOOKUP($E$186,Intervals_Developing,S$258-2004,FALSE))</f>
        <v>#VALUE!</v>
      </c>
      <c r="U252" s="86" t="e">
        <f>IF(COUNTIF(Developed,$A252)=1,$B239*$D$237,$B239*$D$238)+IF(COUNTIF(Developed,$A252)=1,$B239*$D$237,$B239*$D$238)*IF(COUNTIF(Developed,$A252)=1,VLOOKUP($E$185,Intervals_Developed,T$258-2004,FALSE),VLOOKUP($E$186,Intervals_Developing,T$258-2004,FALSE))</f>
        <v>#VALUE!</v>
      </c>
      <c r="V252" s="86" t="e">
        <f>IF(COUNTIF(Developed,$A252)=1,$B239*$D$237,$B239*$D$238)+IF(COUNTIF(Developed,$A252)=1,$B239*$D$237,$B239*$D$238)*IF(COUNTIF(Developed,$A252)=1,VLOOKUP($E$185,Intervals_Developed,U$258-2004,FALSE),VLOOKUP($E$186,Intervals_Developing,U$258-2004,FALSE))</f>
        <v>#VALUE!</v>
      </c>
      <c r="W252" s="86" t="e">
        <f>IF(COUNTIF(Developed,$A252)=1,$B239*$D$237,$B239*$D$238)+IF(COUNTIF(Developed,$A252)=1,$B239*$D$237,$B239*$D$238)*IF(COUNTIF(Developed,$A252)=1,VLOOKUP($E$185,Intervals_Developed,V$258-2004,FALSE),VLOOKUP($E$186,Intervals_Developing,V$258-2004,FALSE))</f>
        <v>#VALUE!</v>
      </c>
      <c r="X252" s="86" t="e">
        <f>IF(COUNTIF(Developed,$A252)=1,$B239*$D$237,$B239*$D$238)+IF(COUNTIF(Developed,$A252)=1,$B239*$D$237,$B239*$D$238)*IF(COUNTIF(Developed,$A252)=1,VLOOKUP($E$185,Intervals_Developed,W$258-2004,FALSE),VLOOKUP($E$186,Intervals_Developing,W$258-2004,FALSE))</f>
        <v>#VALUE!</v>
      </c>
      <c r="Y252" s="86" t="e">
        <f>IF(COUNTIF(Developed,$A252)=1,$B239*$D$237,$B239*$D$238)+IF(COUNTIF(Developed,$A252)=1,$B239*$D$237,$B239*$D$238)*IF(COUNTIF(Developed,$A252)=1,VLOOKUP($E$185,Intervals_Developed,X$258-2004,FALSE),VLOOKUP($E$186,Intervals_Developing,X$258-2004,FALSE))</f>
        <v>#VALUE!</v>
      </c>
      <c r="Z252" s="86" t="e">
        <f>IF(COUNTIF(Developed,$A252)=1,$B239*$D$237,$B239*$D$238)+IF(COUNTIF(Developed,$A252)=1,$B239*$D$237,$B239*$D$238)*IF(COUNTIF(Developed,$A252)=1,VLOOKUP($E$185,Intervals_Developed,Y$258-2004,FALSE),VLOOKUP($E$186,Intervals_Developing,Y$258-2004,FALSE))</f>
        <v>#VALUE!</v>
      </c>
      <c r="AA252" s="86" t="e">
        <f>IF(COUNTIF(Developed,$A252)=1,$B239*$D$237,$B239*$D$238)+IF(COUNTIF(Developed,$A252)=1,$B239*$D$237,$B239*$D$238)*IF(COUNTIF(Developed,$A252)=1,VLOOKUP($E$185,Intervals_Developed,Z$258-2004,FALSE),VLOOKUP($E$186,Intervals_Developing,Z$258-2004,FALSE))</f>
        <v>#VALUE!</v>
      </c>
    </row>
    <row r="253" spans="1:27" x14ac:dyDescent="0.25">
      <c r="A253" s="168" t="str">
        <f t="shared" si="134"/>
        <v>Japan</v>
      </c>
      <c r="B253" s="168" t="b">
        <f>IF(COUNTIF(Developed,A253)=1,OTDS!$B$8,OTDS!$B$15)</f>
        <v>0</v>
      </c>
      <c r="C253" s="86" t="e">
        <f>IF(COUNTIF(Developed,$A253)=1,$B240*$D$237,$B240*$D$238)+IF(COUNTIF(Developed,$A253)=1,$B240*$D$237,$B240*$D$238)*IF(COUNTIF(Developed,$A253)=1,VLOOKUP($E$185,Intervals_Developed,B$258-2004,FALSE),VLOOKUP($E$186,Intervals_Developing,B$258-2004,FALSE))</f>
        <v>#VALUE!</v>
      </c>
      <c r="D253" s="86" t="e">
        <f>IF(COUNTIF(Developed,$A253)=1,$B240*$D$237,$B240*$D$238)+IF(COUNTIF(Developed,$A253)=1,$B240*$D$237,$B240*$D$238)*IF(COUNTIF(Developed,$A253)=1,VLOOKUP($E$185,Intervals_Developed,C$258-2004,FALSE),VLOOKUP($E$186,Intervals_Developing,C$258-2004,FALSE))</f>
        <v>#VALUE!</v>
      </c>
      <c r="E253" s="86" t="e">
        <f>IF(COUNTIF(Developed,$A253)=1,$B240*$D$237,$B240*$D$238)+IF(COUNTIF(Developed,$A253)=1,$B240*$D$237,$B240*$D$238)*IF(COUNTIF(Developed,$A253)=1,VLOOKUP($E$185,Intervals_Developed,D$258-2004,FALSE),VLOOKUP($E$186,Intervals_Developing,D$258-2004,FALSE))</f>
        <v>#VALUE!</v>
      </c>
      <c r="F253" s="86" t="e">
        <f>IF(COUNTIF(Developed,$A253)=1,$B240*$D$237,$B240*$D$238)+IF(COUNTIF(Developed,$A253)=1,$B240*$D$237,$B240*$D$238)*IF(COUNTIF(Developed,$A253)=1,VLOOKUP($E$185,Intervals_Developed,E$258-2004,FALSE),VLOOKUP($E$186,Intervals_Developing,E$258-2004,FALSE))</f>
        <v>#VALUE!</v>
      </c>
      <c r="G253" s="86" t="e">
        <f>IF(COUNTIF(Developed,$A253)=1,$B240*$D$237,$B240*$D$238)+IF(COUNTIF(Developed,$A253)=1,$B240*$D$237,$B240*$D$238)*IF(COUNTIF(Developed,$A253)=1,VLOOKUP($E$185,Intervals_Developed,F$258-2004,FALSE),VLOOKUP($E$186,Intervals_Developing,F$258-2004,FALSE))</f>
        <v>#VALUE!</v>
      </c>
      <c r="H253" s="86" t="e">
        <f>IF(COUNTIF(Developed,$A253)=1,$B240*$D$237,$B240*$D$238)+IF(COUNTIF(Developed,$A253)=1,$B240*$D$237,$B240*$D$238)*IF(COUNTIF(Developed,$A253)=1,VLOOKUP($E$185,Intervals_Developed,G$258-2004,FALSE),VLOOKUP($E$186,Intervals_Developing,G$258-2004,FALSE))</f>
        <v>#VALUE!</v>
      </c>
      <c r="I253" s="86" t="e">
        <f>IF(COUNTIF(Developed,$A253)=1,$B240*$D$237,$B240*$D$238)+IF(COUNTIF(Developed,$A253)=1,$B240*$D$237,$B240*$D$238)*IF(COUNTIF(Developed,$A253)=1,VLOOKUP($E$185,Intervals_Developed,H$258-2004,FALSE),VLOOKUP($E$186,Intervals_Developing,H$258-2004,FALSE))</f>
        <v>#VALUE!</v>
      </c>
      <c r="J253" s="86" t="e">
        <f>IF(COUNTIF(Developed,$A253)=1,$B240*$D$237,$B240*$D$238)+IF(COUNTIF(Developed,$A253)=1,$B240*$D$237,$B240*$D$238)*IF(COUNTIF(Developed,$A253)=1,VLOOKUP($E$185,Intervals_Developed,I$258-2004,FALSE),VLOOKUP($E$186,Intervals_Developing,I$258-2004,FALSE))</f>
        <v>#VALUE!</v>
      </c>
      <c r="K253" s="86" t="e">
        <f>IF(COUNTIF(Developed,$A253)=1,$B240*$D$237,$B240*$D$238)+IF(COUNTIF(Developed,$A253)=1,$B240*$D$237,$B240*$D$238)*IF(COUNTIF(Developed,$A253)=1,VLOOKUP($E$185,Intervals_Developed,J$258-2004,FALSE),VLOOKUP($E$186,Intervals_Developing,J$258-2004,FALSE))</f>
        <v>#VALUE!</v>
      </c>
      <c r="L253" s="86" t="e">
        <f>IF(COUNTIF(Developed,$A253)=1,$B240*$D$237,$B240*$D$238)+IF(COUNTIF(Developed,$A253)=1,$B240*$D$237,$B240*$D$238)*IF(COUNTIF(Developed,$A253)=1,VLOOKUP($E$185,Intervals_Developed,K$258-2004,FALSE),VLOOKUP($E$186,Intervals_Developing,K$258-2004,FALSE))</f>
        <v>#VALUE!</v>
      </c>
      <c r="M253" s="86" t="e">
        <f>IF(COUNTIF(Developed,$A253)=1,$B240*$D$237,$B240*$D$238)+IF(COUNTIF(Developed,$A253)=1,$B240*$D$237,$B240*$D$238)*IF(COUNTIF(Developed,$A253)=1,VLOOKUP($E$185,Intervals_Developed,L$258-2004,FALSE),VLOOKUP($E$186,Intervals_Developing,L$258-2004,FALSE))</f>
        <v>#VALUE!</v>
      </c>
      <c r="N253" s="86" t="e">
        <f>IF(COUNTIF(Developed,$A253)=1,$B240*$D$237,$B240*$D$238)+IF(COUNTIF(Developed,$A253)=1,$B240*$D$237,$B240*$D$238)*IF(COUNTIF(Developed,$A253)=1,VLOOKUP($E$185,Intervals_Developed,M$258-2004,FALSE),VLOOKUP($E$186,Intervals_Developing,M$258-2004,FALSE))</f>
        <v>#VALUE!</v>
      </c>
      <c r="O253" s="86" t="e">
        <f>IF(COUNTIF(Developed,$A253)=1,$B240*$D$237,$B240*$D$238)+IF(COUNTIF(Developed,$A253)=1,$B240*$D$237,$B240*$D$238)*IF(COUNTIF(Developed,$A253)=1,VLOOKUP($E$185,Intervals_Developed,N$258-2004,FALSE),VLOOKUP($E$186,Intervals_Developing,N$258-2004,FALSE))</f>
        <v>#VALUE!</v>
      </c>
      <c r="P253" s="86" t="e">
        <f>IF(COUNTIF(Developed,$A253)=1,$B240*$D$237,$B240*$D$238)+IF(COUNTIF(Developed,$A253)=1,$B240*$D$237,$B240*$D$238)*IF(COUNTIF(Developed,$A253)=1,VLOOKUP($E$185,Intervals_Developed,O$258-2004,FALSE),VLOOKUP($E$186,Intervals_Developing,O$258-2004,FALSE))</f>
        <v>#VALUE!</v>
      </c>
      <c r="Q253" s="86" t="e">
        <f>IF(COUNTIF(Developed,$A253)=1,$B240*$D$237,$B240*$D$238)+IF(COUNTIF(Developed,$A253)=1,$B240*$D$237,$B240*$D$238)*IF(COUNTIF(Developed,$A253)=1,VLOOKUP($E$185,Intervals_Developed,P$258-2004,FALSE),VLOOKUP($E$186,Intervals_Developing,P$258-2004,FALSE))</f>
        <v>#VALUE!</v>
      </c>
      <c r="R253" s="86" t="e">
        <f>IF(COUNTIF(Developed,$A253)=1,$B240*$D$237,$B240*$D$238)+IF(COUNTIF(Developed,$A253)=1,$B240*$D$237,$B240*$D$238)*IF(COUNTIF(Developed,$A253)=1,VLOOKUP($E$185,Intervals_Developed,Q$258-2004,FALSE),VLOOKUP($E$186,Intervals_Developing,Q$258-2004,FALSE))</f>
        <v>#VALUE!</v>
      </c>
      <c r="S253" s="86" t="e">
        <f>IF(COUNTIF(Developed,$A253)=1,$B240*$D$237,$B240*$D$238)+IF(COUNTIF(Developed,$A253)=1,$B240*$D$237,$B240*$D$238)*IF(COUNTIF(Developed,$A253)=1,VLOOKUP($E$185,Intervals_Developed,R$258-2004,FALSE),VLOOKUP($E$186,Intervals_Developing,R$258-2004,FALSE))</f>
        <v>#VALUE!</v>
      </c>
      <c r="T253" s="86" t="e">
        <f>IF(COUNTIF(Developed,$A253)=1,$B240*$D$237,$B240*$D$238)+IF(COUNTIF(Developed,$A253)=1,$B240*$D$237,$B240*$D$238)*IF(COUNTIF(Developed,$A253)=1,VLOOKUP($E$185,Intervals_Developed,S$258-2004,FALSE),VLOOKUP($E$186,Intervals_Developing,S$258-2004,FALSE))</f>
        <v>#VALUE!</v>
      </c>
      <c r="U253" s="86" t="e">
        <f>IF(COUNTIF(Developed,$A253)=1,$B240*$D$237,$B240*$D$238)+IF(COUNTIF(Developed,$A253)=1,$B240*$D$237,$B240*$D$238)*IF(COUNTIF(Developed,$A253)=1,VLOOKUP($E$185,Intervals_Developed,T$258-2004,FALSE),VLOOKUP($E$186,Intervals_Developing,T$258-2004,FALSE))</f>
        <v>#VALUE!</v>
      </c>
      <c r="V253" s="86" t="e">
        <f>IF(COUNTIF(Developed,$A253)=1,$B240*$D$237,$B240*$D$238)+IF(COUNTIF(Developed,$A253)=1,$B240*$D$237,$B240*$D$238)*IF(COUNTIF(Developed,$A253)=1,VLOOKUP($E$185,Intervals_Developed,U$258-2004,FALSE),VLOOKUP($E$186,Intervals_Developing,U$258-2004,FALSE))</f>
        <v>#VALUE!</v>
      </c>
      <c r="W253" s="86" t="e">
        <f>IF(COUNTIF(Developed,$A253)=1,$B240*$D$237,$B240*$D$238)+IF(COUNTIF(Developed,$A253)=1,$B240*$D$237,$B240*$D$238)*IF(COUNTIF(Developed,$A253)=1,VLOOKUP($E$185,Intervals_Developed,V$258-2004,FALSE),VLOOKUP($E$186,Intervals_Developing,V$258-2004,FALSE))</f>
        <v>#VALUE!</v>
      </c>
      <c r="X253" s="86" t="e">
        <f>IF(COUNTIF(Developed,$A253)=1,$B240*$D$237,$B240*$D$238)+IF(COUNTIF(Developed,$A253)=1,$B240*$D$237,$B240*$D$238)*IF(COUNTIF(Developed,$A253)=1,VLOOKUP($E$185,Intervals_Developed,W$258-2004,FALSE),VLOOKUP($E$186,Intervals_Developing,W$258-2004,FALSE))</f>
        <v>#VALUE!</v>
      </c>
      <c r="Y253" s="86" t="e">
        <f>IF(COUNTIF(Developed,$A253)=1,$B240*$D$237,$B240*$D$238)+IF(COUNTIF(Developed,$A253)=1,$B240*$D$237,$B240*$D$238)*IF(COUNTIF(Developed,$A253)=1,VLOOKUP($E$185,Intervals_Developed,X$258-2004,FALSE),VLOOKUP($E$186,Intervals_Developing,X$258-2004,FALSE))</f>
        <v>#VALUE!</v>
      </c>
      <c r="Z253" s="86" t="e">
        <f>IF(COUNTIF(Developed,$A253)=1,$B240*$D$237,$B240*$D$238)+IF(COUNTIF(Developed,$A253)=1,$B240*$D$237,$B240*$D$238)*IF(COUNTIF(Developed,$A253)=1,VLOOKUP($E$185,Intervals_Developed,Y$258-2004,FALSE),VLOOKUP($E$186,Intervals_Developing,Y$258-2004,FALSE))</f>
        <v>#VALUE!</v>
      </c>
      <c r="AA253" s="86" t="e">
        <f>IF(COUNTIF(Developed,$A253)=1,$B240*$D$237,$B240*$D$238)+IF(COUNTIF(Developed,$A253)=1,$B240*$D$237,$B240*$D$238)*IF(COUNTIF(Developed,$A253)=1,VLOOKUP($E$185,Intervals_Developed,Z$258-2004,FALSE),VLOOKUP($E$186,Intervals_Developing,Z$258-2004,FALSE))</f>
        <v>#VALUE!</v>
      </c>
    </row>
    <row r="254" spans="1:27" x14ac:dyDescent="0.25">
      <c r="A254" s="168" t="str">
        <f t="shared" si="134"/>
        <v>United States of America</v>
      </c>
      <c r="B254" s="168" t="b">
        <f>IF(COUNTIF(Developed,A254)=1,OTDS!$B$8,OTDS!$B$15)</f>
        <v>0</v>
      </c>
      <c r="C254" s="86" t="e">
        <f>IF(COUNTIF(Developed,$A254)=1,$B241*$D$237,$B241*$D$238)+IF(COUNTIF(Developed,$A254)=1,$B241*$D$237,$B241*$D$238)*IF(COUNTIF(Developed,$A254)=1,VLOOKUP($E$185,Intervals_Developed,B$258-2004,FALSE),VLOOKUP($E$186,Intervals_Developing,B$258-2004,FALSE))</f>
        <v>#VALUE!</v>
      </c>
      <c r="D254" s="86" t="e">
        <f>IF(COUNTIF(Developed,$A254)=1,$B241*$D$237,$B241*$D$238)+IF(COUNTIF(Developed,$A254)=1,$B241*$D$237,$B241*$D$238)*IF(COUNTIF(Developed,$A254)=1,VLOOKUP($E$185,Intervals_Developed,C$258-2004,FALSE),VLOOKUP($E$186,Intervals_Developing,C$258-2004,FALSE))</f>
        <v>#VALUE!</v>
      </c>
      <c r="E254" s="86" t="e">
        <f>IF(COUNTIF(Developed,$A254)=1,$B241*$D$237,$B241*$D$238)+IF(COUNTIF(Developed,$A254)=1,$B241*$D$237,$B241*$D$238)*IF(COUNTIF(Developed,$A254)=1,VLOOKUP($E$185,Intervals_Developed,D$258-2004,FALSE),VLOOKUP($E$186,Intervals_Developing,D$258-2004,FALSE))</f>
        <v>#VALUE!</v>
      </c>
      <c r="F254" s="86" t="e">
        <f>IF(COUNTIF(Developed,$A254)=1,$B241*$D$237,$B241*$D$238)+IF(COUNTIF(Developed,$A254)=1,$B241*$D$237,$B241*$D$238)*IF(COUNTIF(Developed,$A254)=1,VLOOKUP($E$185,Intervals_Developed,E$258-2004,FALSE),VLOOKUP($E$186,Intervals_Developing,E$258-2004,FALSE))</f>
        <v>#VALUE!</v>
      </c>
      <c r="G254" s="86" t="e">
        <f>IF(COUNTIF(Developed,$A254)=1,$B241*$D$237,$B241*$D$238)+IF(COUNTIF(Developed,$A254)=1,$B241*$D$237,$B241*$D$238)*IF(COUNTIF(Developed,$A254)=1,VLOOKUP($E$185,Intervals_Developed,F$258-2004,FALSE),VLOOKUP($E$186,Intervals_Developing,F$258-2004,FALSE))</f>
        <v>#VALUE!</v>
      </c>
      <c r="H254" s="86" t="e">
        <f>IF(COUNTIF(Developed,$A254)=1,$B241*$D$237,$B241*$D$238)+IF(COUNTIF(Developed,$A254)=1,$B241*$D$237,$B241*$D$238)*IF(COUNTIF(Developed,$A254)=1,VLOOKUP($E$185,Intervals_Developed,G$258-2004,FALSE),VLOOKUP($E$186,Intervals_Developing,G$258-2004,FALSE))</f>
        <v>#VALUE!</v>
      </c>
      <c r="I254" s="86" t="e">
        <f>IF(COUNTIF(Developed,$A254)=1,$B241*$D$237,$B241*$D$238)+IF(COUNTIF(Developed,$A254)=1,$B241*$D$237,$B241*$D$238)*IF(COUNTIF(Developed,$A254)=1,VLOOKUP($E$185,Intervals_Developed,H$258-2004,FALSE),VLOOKUP($E$186,Intervals_Developing,H$258-2004,FALSE))</f>
        <v>#VALUE!</v>
      </c>
      <c r="J254" s="86" t="e">
        <f>IF(COUNTIF(Developed,$A254)=1,$B241*$D$237,$B241*$D$238)+IF(COUNTIF(Developed,$A254)=1,$B241*$D$237,$B241*$D$238)*IF(COUNTIF(Developed,$A254)=1,VLOOKUP($E$185,Intervals_Developed,I$258-2004,FALSE),VLOOKUP($E$186,Intervals_Developing,I$258-2004,FALSE))</f>
        <v>#VALUE!</v>
      </c>
      <c r="K254" s="86" t="e">
        <f>IF(COUNTIF(Developed,$A254)=1,$B241*$D$237,$B241*$D$238)+IF(COUNTIF(Developed,$A254)=1,$B241*$D$237,$B241*$D$238)*IF(COUNTIF(Developed,$A254)=1,VLOOKUP($E$185,Intervals_Developed,J$258-2004,FALSE),VLOOKUP($E$186,Intervals_Developing,J$258-2004,FALSE))</f>
        <v>#VALUE!</v>
      </c>
      <c r="L254" s="86" t="e">
        <f>IF(COUNTIF(Developed,$A254)=1,$B241*$D$237,$B241*$D$238)+IF(COUNTIF(Developed,$A254)=1,$B241*$D$237,$B241*$D$238)*IF(COUNTIF(Developed,$A254)=1,VLOOKUP($E$185,Intervals_Developed,K$258-2004,FALSE),VLOOKUP($E$186,Intervals_Developing,K$258-2004,FALSE))</f>
        <v>#VALUE!</v>
      </c>
      <c r="M254" s="86" t="e">
        <f>IF(COUNTIF(Developed,$A254)=1,$B241*$D$237,$B241*$D$238)+IF(COUNTIF(Developed,$A254)=1,$B241*$D$237,$B241*$D$238)*IF(COUNTIF(Developed,$A254)=1,VLOOKUP($E$185,Intervals_Developed,L$258-2004,FALSE),VLOOKUP($E$186,Intervals_Developing,L$258-2004,FALSE))</f>
        <v>#VALUE!</v>
      </c>
      <c r="N254" s="86" t="e">
        <f>IF(COUNTIF(Developed,$A254)=1,$B241*$D$237,$B241*$D$238)+IF(COUNTIF(Developed,$A254)=1,$B241*$D$237,$B241*$D$238)*IF(COUNTIF(Developed,$A254)=1,VLOOKUP($E$185,Intervals_Developed,M$258-2004,FALSE),VLOOKUP($E$186,Intervals_Developing,M$258-2004,FALSE))</f>
        <v>#VALUE!</v>
      </c>
      <c r="O254" s="86" t="e">
        <f>IF(COUNTIF(Developed,$A254)=1,$B241*$D$237,$B241*$D$238)+IF(COUNTIF(Developed,$A254)=1,$B241*$D$237,$B241*$D$238)*IF(COUNTIF(Developed,$A254)=1,VLOOKUP($E$185,Intervals_Developed,N$258-2004,FALSE),VLOOKUP($E$186,Intervals_Developing,N$258-2004,FALSE))</f>
        <v>#VALUE!</v>
      </c>
      <c r="P254" s="86" t="e">
        <f>IF(COUNTIF(Developed,$A254)=1,$B241*$D$237,$B241*$D$238)+IF(COUNTIF(Developed,$A254)=1,$B241*$D$237,$B241*$D$238)*IF(COUNTIF(Developed,$A254)=1,VLOOKUP($E$185,Intervals_Developed,O$258-2004,FALSE),VLOOKUP($E$186,Intervals_Developing,O$258-2004,FALSE))</f>
        <v>#VALUE!</v>
      </c>
      <c r="Q254" s="86" t="e">
        <f>IF(COUNTIF(Developed,$A254)=1,$B241*$D$237,$B241*$D$238)+IF(COUNTIF(Developed,$A254)=1,$B241*$D$237,$B241*$D$238)*IF(COUNTIF(Developed,$A254)=1,VLOOKUP($E$185,Intervals_Developed,P$258-2004,FALSE),VLOOKUP($E$186,Intervals_Developing,P$258-2004,FALSE))</f>
        <v>#VALUE!</v>
      </c>
      <c r="R254" s="86" t="e">
        <f>IF(COUNTIF(Developed,$A254)=1,$B241*$D$237,$B241*$D$238)+IF(COUNTIF(Developed,$A254)=1,$B241*$D$237,$B241*$D$238)*IF(COUNTIF(Developed,$A254)=1,VLOOKUP($E$185,Intervals_Developed,Q$258-2004,FALSE),VLOOKUP($E$186,Intervals_Developing,Q$258-2004,FALSE))</f>
        <v>#VALUE!</v>
      </c>
      <c r="S254" s="86" t="e">
        <f>IF(COUNTIF(Developed,$A254)=1,$B241*$D$237,$B241*$D$238)+IF(COUNTIF(Developed,$A254)=1,$B241*$D$237,$B241*$D$238)*IF(COUNTIF(Developed,$A254)=1,VLOOKUP($E$185,Intervals_Developed,R$258-2004,FALSE),VLOOKUP($E$186,Intervals_Developing,R$258-2004,FALSE))</f>
        <v>#VALUE!</v>
      </c>
      <c r="T254" s="86" t="e">
        <f>IF(COUNTIF(Developed,$A254)=1,$B241*$D$237,$B241*$D$238)+IF(COUNTIF(Developed,$A254)=1,$B241*$D$237,$B241*$D$238)*IF(COUNTIF(Developed,$A254)=1,VLOOKUP($E$185,Intervals_Developed,S$258-2004,FALSE),VLOOKUP($E$186,Intervals_Developing,S$258-2004,FALSE))</f>
        <v>#VALUE!</v>
      </c>
      <c r="U254" s="86" t="e">
        <f>IF(COUNTIF(Developed,$A254)=1,$B241*$D$237,$B241*$D$238)+IF(COUNTIF(Developed,$A254)=1,$B241*$D$237,$B241*$D$238)*IF(COUNTIF(Developed,$A254)=1,VLOOKUP($E$185,Intervals_Developed,T$258-2004,FALSE),VLOOKUP($E$186,Intervals_Developing,T$258-2004,FALSE))</f>
        <v>#VALUE!</v>
      </c>
      <c r="V254" s="86" t="e">
        <f>IF(COUNTIF(Developed,$A254)=1,$B241*$D$237,$B241*$D$238)+IF(COUNTIF(Developed,$A254)=1,$B241*$D$237,$B241*$D$238)*IF(COUNTIF(Developed,$A254)=1,VLOOKUP($E$185,Intervals_Developed,U$258-2004,FALSE),VLOOKUP($E$186,Intervals_Developing,U$258-2004,FALSE))</f>
        <v>#VALUE!</v>
      </c>
      <c r="W254" s="86" t="e">
        <f>IF(COUNTIF(Developed,$A254)=1,$B241*$D$237,$B241*$D$238)+IF(COUNTIF(Developed,$A254)=1,$B241*$D$237,$B241*$D$238)*IF(COUNTIF(Developed,$A254)=1,VLOOKUP($E$185,Intervals_Developed,V$258-2004,FALSE),VLOOKUP($E$186,Intervals_Developing,V$258-2004,FALSE))</f>
        <v>#VALUE!</v>
      </c>
      <c r="X254" s="86" t="e">
        <f>IF(COUNTIF(Developed,$A254)=1,$B241*$D$237,$B241*$D$238)+IF(COUNTIF(Developed,$A254)=1,$B241*$D$237,$B241*$D$238)*IF(COUNTIF(Developed,$A254)=1,VLOOKUP($E$185,Intervals_Developed,W$258-2004,FALSE),VLOOKUP($E$186,Intervals_Developing,W$258-2004,FALSE))</f>
        <v>#VALUE!</v>
      </c>
      <c r="Y254" s="86" t="e">
        <f>IF(COUNTIF(Developed,$A254)=1,$B241*$D$237,$B241*$D$238)+IF(COUNTIF(Developed,$A254)=1,$B241*$D$237,$B241*$D$238)*IF(COUNTIF(Developed,$A254)=1,VLOOKUP($E$185,Intervals_Developed,X$258-2004,FALSE),VLOOKUP($E$186,Intervals_Developing,X$258-2004,FALSE))</f>
        <v>#VALUE!</v>
      </c>
      <c r="Z254" s="86" t="e">
        <f>IF(COUNTIF(Developed,$A254)=1,$B241*$D$237,$B241*$D$238)+IF(COUNTIF(Developed,$A254)=1,$B241*$D$237,$B241*$D$238)*IF(COUNTIF(Developed,$A254)=1,VLOOKUP($E$185,Intervals_Developed,Y$258-2004,FALSE),VLOOKUP($E$186,Intervals_Developing,Y$258-2004,FALSE))</f>
        <v>#VALUE!</v>
      </c>
      <c r="AA254" s="86" t="e">
        <f>IF(COUNTIF(Developed,$A254)=1,$B241*$D$237,$B241*$D$238)+IF(COUNTIF(Developed,$A254)=1,$B241*$D$237,$B241*$D$238)*IF(COUNTIF(Developed,$A254)=1,VLOOKUP($E$185,Intervals_Developed,Z$258-2004,FALSE),VLOOKUP($E$186,Intervals_Developing,Z$258-2004,FALSE))</f>
        <v>#VALUE!</v>
      </c>
    </row>
    <row r="255" spans="1:27" x14ac:dyDescent="0.25">
      <c r="A255" s="168">
        <f>A242</f>
        <v>0</v>
      </c>
      <c r="B255" s="168" t="b">
        <f>IF(COUNTIF(Developed,A255)=1,OTDS!$B$8,OTDS!$B$15)</f>
        <v>0</v>
      </c>
      <c r="C255" s="86" t="e">
        <f>IF(COUNTIF(Developed,$A255)=1,$B242*$D$237,$B242*$D$238)+IF(COUNTIF(Developed,$A255)=1,$B242*$D$237,$B242*$D$238)*IF(COUNTIF(Developed,$A255)=1,VLOOKUP($E$185,Intervals_Developed,B$258-2004,FALSE),VLOOKUP($E$186,Intervals_Developing,B$258-2004,FALSE))</f>
        <v>#VALUE!</v>
      </c>
      <c r="D255" s="86" t="e">
        <f>IF(COUNTIF(Developed,$A255)=1,$B242*$D$237,$B242*$D$238)+IF(COUNTIF(Developed,$A255)=1,$B242*$D$237,$B242*$D$238)*IF(COUNTIF(Developed,$A255)=1,VLOOKUP($E$185,Intervals_Developed,C$258-2004,FALSE),VLOOKUP($E$186,Intervals_Developing,C$258-2004,FALSE))</f>
        <v>#VALUE!</v>
      </c>
      <c r="E255" s="86" t="e">
        <f>IF(COUNTIF(Developed,$A255)=1,$B242*$D$237,$B242*$D$238)+IF(COUNTIF(Developed,$A255)=1,$B242*$D$237,$B242*$D$238)*IF(COUNTIF(Developed,$A255)=1,VLOOKUP($E$185,Intervals_Developed,D$258-2004,FALSE),VLOOKUP($E$186,Intervals_Developing,D$258-2004,FALSE))</f>
        <v>#VALUE!</v>
      </c>
      <c r="F255" s="86" t="e">
        <f>IF(COUNTIF(Developed,$A255)=1,$B242*$D$237,$B242*$D$238)+IF(COUNTIF(Developed,$A255)=1,$B242*$D$237,$B242*$D$238)*IF(COUNTIF(Developed,$A255)=1,VLOOKUP($E$185,Intervals_Developed,E$258-2004,FALSE),VLOOKUP($E$186,Intervals_Developing,E$258-2004,FALSE))</f>
        <v>#VALUE!</v>
      </c>
      <c r="G255" s="86" t="e">
        <f>IF(COUNTIF(Developed,$A255)=1,$B242*$D$237,$B242*$D$238)+IF(COUNTIF(Developed,$A255)=1,$B242*$D$237,$B242*$D$238)*IF(COUNTIF(Developed,$A255)=1,VLOOKUP($E$185,Intervals_Developed,F$258-2004,FALSE),VLOOKUP($E$186,Intervals_Developing,F$258-2004,FALSE))</f>
        <v>#VALUE!</v>
      </c>
      <c r="H255" s="86" t="e">
        <f>IF(COUNTIF(Developed,$A255)=1,$B242*$D$237,$B242*$D$238)+IF(COUNTIF(Developed,$A255)=1,$B242*$D$237,$B242*$D$238)*IF(COUNTIF(Developed,$A255)=1,VLOOKUP($E$185,Intervals_Developed,G$258-2004,FALSE),VLOOKUP($E$186,Intervals_Developing,G$258-2004,FALSE))</f>
        <v>#VALUE!</v>
      </c>
      <c r="I255" s="86" t="e">
        <f>IF(COUNTIF(Developed,$A255)=1,$B242*$D$237,$B242*$D$238)+IF(COUNTIF(Developed,$A255)=1,$B242*$D$237,$B242*$D$238)*IF(COUNTIF(Developed,$A255)=1,VLOOKUP($E$185,Intervals_Developed,H$258-2004,FALSE),VLOOKUP($E$186,Intervals_Developing,H$258-2004,FALSE))</f>
        <v>#VALUE!</v>
      </c>
      <c r="J255" s="86" t="e">
        <f>IF(COUNTIF(Developed,$A255)=1,$B242*$D$237,$B242*$D$238)+IF(COUNTIF(Developed,$A255)=1,$B242*$D$237,$B242*$D$238)*IF(COUNTIF(Developed,$A255)=1,VLOOKUP($E$185,Intervals_Developed,I$258-2004,FALSE),VLOOKUP($E$186,Intervals_Developing,I$258-2004,FALSE))</f>
        <v>#VALUE!</v>
      </c>
      <c r="K255" s="86" t="e">
        <f>IF(COUNTIF(Developed,$A255)=1,$B242*$D$237,$B242*$D$238)+IF(COUNTIF(Developed,$A255)=1,$B242*$D$237,$B242*$D$238)*IF(COUNTIF(Developed,$A255)=1,VLOOKUP($E$185,Intervals_Developed,J$258-2004,FALSE),VLOOKUP($E$186,Intervals_Developing,J$258-2004,FALSE))</f>
        <v>#VALUE!</v>
      </c>
      <c r="L255" s="86" t="e">
        <f>IF(COUNTIF(Developed,$A255)=1,$B242*$D$237,$B242*$D$238)+IF(COUNTIF(Developed,$A255)=1,$B242*$D$237,$B242*$D$238)*IF(COUNTIF(Developed,$A255)=1,VLOOKUP($E$185,Intervals_Developed,K$258-2004,FALSE),VLOOKUP($E$186,Intervals_Developing,K$258-2004,FALSE))</f>
        <v>#VALUE!</v>
      </c>
      <c r="M255" s="86" t="e">
        <f>IF(COUNTIF(Developed,$A255)=1,$B242*$D$237,$B242*$D$238)+IF(COUNTIF(Developed,$A255)=1,$B242*$D$237,$B242*$D$238)*IF(COUNTIF(Developed,$A255)=1,VLOOKUP($E$185,Intervals_Developed,L$258-2004,FALSE),VLOOKUP($E$186,Intervals_Developing,L$258-2004,FALSE))</f>
        <v>#VALUE!</v>
      </c>
      <c r="N255" s="86" t="e">
        <f>IF(COUNTIF(Developed,$A255)=1,$B242*$D$237,$B242*$D$238)+IF(COUNTIF(Developed,$A255)=1,$B242*$D$237,$B242*$D$238)*IF(COUNTIF(Developed,$A255)=1,VLOOKUP($E$185,Intervals_Developed,M$258-2004,FALSE),VLOOKUP($E$186,Intervals_Developing,M$258-2004,FALSE))</f>
        <v>#VALUE!</v>
      </c>
      <c r="O255" s="86" t="e">
        <f>IF(COUNTIF(Developed,$A255)=1,$B242*$D$237,$B242*$D$238)+IF(COUNTIF(Developed,$A255)=1,$B242*$D$237,$B242*$D$238)*IF(COUNTIF(Developed,$A255)=1,VLOOKUP($E$185,Intervals_Developed,N$258-2004,FALSE),VLOOKUP($E$186,Intervals_Developing,N$258-2004,FALSE))</f>
        <v>#VALUE!</v>
      </c>
      <c r="P255" s="86" t="e">
        <f>IF(COUNTIF(Developed,$A255)=1,$B242*$D$237,$B242*$D$238)+IF(COUNTIF(Developed,$A255)=1,$B242*$D$237,$B242*$D$238)*IF(COUNTIF(Developed,$A255)=1,VLOOKUP($E$185,Intervals_Developed,O$258-2004,FALSE),VLOOKUP($E$186,Intervals_Developing,O$258-2004,FALSE))</f>
        <v>#VALUE!</v>
      </c>
      <c r="Q255" s="86" t="e">
        <f>IF(COUNTIF(Developed,$A255)=1,$B242*$D$237,$B242*$D$238)+IF(COUNTIF(Developed,$A255)=1,$B242*$D$237,$B242*$D$238)*IF(COUNTIF(Developed,$A255)=1,VLOOKUP($E$185,Intervals_Developed,P$258-2004,FALSE),VLOOKUP($E$186,Intervals_Developing,P$258-2004,FALSE))</f>
        <v>#VALUE!</v>
      </c>
      <c r="R255" s="86" t="e">
        <f>IF(COUNTIF(Developed,$A255)=1,$B242*$D$237,$B242*$D$238)+IF(COUNTIF(Developed,$A255)=1,$B242*$D$237,$B242*$D$238)*IF(COUNTIF(Developed,$A255)=1,VLOOKUP($E$185,Intervals_Developed,Q$258-2004,FALSE),VLOOKUP($E$186,Intervals_Developing,Q$258-2004,FALSE))</f>
        <v>#VALUE!</v>
      </c>
      <c r="S255" s="86" t="e">
        <f>IF(COUNTIF(Developed,$A255)=1,$B242*$D$237,$B242*$D$238)+IF(COUNTIF(Developed,$A255)=1,$B242*$D$237,$B242*$D$238)*IF(COUNTIF(Developed,$A255)=1,VLOOKUP($E$185,Intervals_Developed,R$258-2004,FALSE),VLOOKUP($E$186,Intervals_Developing,R$258-2004,FALSE))</f>
        <v>#VALUE!</v>
      </c>
      <c r="T255" s="86" t="e">
        <f>IF(COUNTIF(Developed,$A255)=1,$B242*$D$237,$B242*$D$238)+IF(COUNTIF(Developed,$A255)=1,$B242*$D$237,$B242*$D$238)*IF(COUNTIF(Developed,$A255)=1,VLOOKUP($E$185,Intervals_Developed,S$258-2004,FALSE),VLOOKUP($E$186,Intervals_Developing,S$258-2004,FALSE))</f>
        <v>#VALUE!</v>
      </c>
      <c r="U255" s="86" t="e">
        <f>IF(COUNTIF(Developed,$A255)=1,$B242*$D$237,$B242*$D$238)+IF(COUNTIF(Developed,$A255)=1,$B242*$D$237,$B242*$D$238)*IF(COUNTIF(Developed,$A255)=1,VLOOKUP($E$185,Intervals_Developed,T$258-2004,FALSE),VLOOKUP($E$186,Intervals_Developing,T$258-2004,FALSE))</f>
        <v>#VALUE!</v>
      </c>
      <c r="V255" s="86" t="e">
        <f>IF(COUNTIF(Developed,$A255)=1,$B242*$D$237,$B242*$D$238)+IF(COUNTIF(Developed,$A255)=1,$B242*$D$237,$B242*$D$238)*IF(COUNTIF(Developed,$A255)=1,VLOOKUP($E$185,Intervals_Developed,U$258-2004,FALSE),VLOOKUP($E$186,Intervals_Developing,U$258-2004,FALSE))</f>
        <v>#VALUE!</v>
      </c>
      <c r="W255" s="86" t="e">
        <f>IF(COUNTIF(Developed,$A255)=1,$B242*$D$237,$B242*$D$238)+IF(COUNTIF(Developed,$A255)=1,$B242*$D$237,$B242*$D$238)*IF(COUNTIF(Developed,$A255)=1,VLOOKUP($E$185,Intervals_Developed,V$258-2004,FALSE),VLOOKUP($E$186,Intervals_Developing,V$258-2004,FALSE))</f>
        <v>#VALUE!</v>
      </c>
      <c r="X255" s="86" t="e">
        <f>IF(COUNTIF(Developed,$A255)=1,$B242*$D$237,$B242*$D$238)+IF(COUNTIF(Developed,$A255)=1,$B242*$D$237,$B242*$D$238)*IF(COUNTIF(Developed,$A255)=1,VLOOKUP($E$185,Intervals_Developed,W$258-2004,FALSE),VLOOKUP($E$186,Intervals_Developing,W$258-2004,FALSE))</f>
        <v>#VALUE!</v>
      </c>
      <c r="Y255" s="86" t="e">
        <f>IF(COUNTIF(Developed,$A255)=1,$B242*$D$237,$B242*$D$238)+IF(COUNTIF(Developed,$A255)=1,$B242*$D$237,$B242*$D$238)*IF(COUNTIF(Developed,$A255)=1,VLOOKUP($E$185,Intervals_Developed,X$258-2004,FALSE),VLOOKUP($E$186,Intervals_Developing,X$258-2004,FALSE))</f>
        <v>#VALUE!</v>
      </c>
      <c r="Z255" s="86" t="e">
        <f>IF(COUNTIF(Developed,$A255)=1,$B242*$D$237,$B242*$D$238)+IF(COUNTIF(Developed,$A255)=1,$B242*$D$237,$B242*$D$238)*IF(COUNTIF(Developed,$A255)=1,VLOOKUP($E$185,Intervals_Developed,Y$258-2004,FALSE),VLOOKUP($E$186,Intervals_Developing,Y$258-2004,FALSE))</f>
        <v>#VALUE!</v>
      </c>
      <c r="AA255" s="86" t="e">
        <f>IF(COUNTIF(Developed,$A255)=1,$B242*$D$237,$B242*$D$238)+IF(COUNTIF(Developed,$A255)=1,$B242*$D$237,$B242*$D$238)*IF(COUNTIF(Developed,$A255)=1,VLOOKUP($E$185,Intervals_Developed,Z$258-2004,FALSE),VLOOKUP($E$186,Intervals_Developing,Z$258-2004,FALSE))</f>
        <v>#VALUE!</v>
      </c>
    </row>
    <row r="257" spans="1:26" x14ac:dyDescent="0.25">
      <c r="A257" s="203" t="s">
        <v>498</v>
      </c>
      <c r="B257" s="203"/>
      <c r="C257" s="203"/>
    </row>
    <row r="258" spans="1:26" x14ac:dyDescent="0.25">
      <c r="B258">
        <v>2006</v>
      </c>
      <c r="C258">
        <v>2007</v>
      </c>
      <c r="D258">
        <v>2008</v>
      </c>
      <c r="E258">
        <v>2009</v>
      </c>
      <c r="F258">
        <v>2010</v>
      </c>
      <c r="G258">
        <v>2011</v>
      </c>
      <c r="H258">
        <v>2012</v>
      </c>
      <c r="I258">
        <v>2013</v>
      </c>
      <c r="J258">
        <v>2014</v>
      </c>
      <c r="K258">
        <v>2015</v>
      </c>
      <c r="L258">
        <v>2016</v>
      </c>
      <c r="M258">
        <v>2017</v>
      </c>
      <c r="N258">
        <v>2018</v>
      </c>
      <c r="O258">
        <v>2019</v>
      </c>
      <c r="P258">
        <v>2020</v>
      </c>
      <c r="Q258">
        <v>2021</v>
      </c>
      <c r="R258">
        <v>2022</v>
      </c>
      <c r="S258">
        <v>2023</v>
      </c>
      <c r="T258">
        <v>2024</v>
      </c>
      <c r="U258">
        <v>2025</v>
      </c>
      <c r="V258">
        <v>2026</v>
      </c>
      <c r="W258">
        <v>2027</v>
      </c>
      <c r="X258">
        <v>2028</v>
      </c>
      <c r="Y258">
        <v>2029</v>
      </c>
      <c r="Z258">
        <v>2030</v>
      </c>
    </row>
    <row r="259" spans="1:26" x14ac:dyDescent="0.25">
      <c r="A259" t="str">
        <f>A246</f>
        <v>Australia</v>
      </c>
      <c r="B259" s="51">
        <f>IF(C93&lt;C68,C93,C68)</f>
        <v>2639596400.1312532</v>
      </c>
      <c r="C259" s="51">
        <f t="shared" ref="C259:Z268" si="135">IF(D93&lt;D68,D93,D68)</f>
        <v>3247875400.1312532</v>
      </c>
      <c r="D259" s="51">
        <f t="shared" si="135"/>
        <v>3913574400.1312532</v>
      </c>
      <c r="E259" s="51">
        <f t="shared" si="135"/>
        <v>3419759400.1312532</v>
      </c>
      <c r="F259" s="51">
        <f t="shared" si="135"/>
        <v>3616436400.1312532</v>
      </c>
      <c r="G259" s="51">
        <f t="shared" si="135"/>
        <v>4585201400.1312532</v>
      </c>
      <c r="H259" s="51">
        <f t="shared" si="135"/>
        <v>4710807400.1312532</v>
      </c>
      <c r="I259" s="51">
        <f t="shared" si="135"/>
        <v>4550855400.1312532</v>
      </c>
      <c r="J259" s="51">
        <f t="shared" si="135"/>
        <v>4673937690.1312532</v>
      </c>
      <c r="K259" s="51">
        <f t="shared" si="135"/>
        <v>4800712448.8312531</v>
      </c>
      <c r="L259" s="51">
        <f t="shared" si="135"/>
        <v>4931290450.2922535</v>
      </c>
      <c r="M259" s="51">
        <f t="shared" si="135"/>
        <v>5065785791.7970839</v>
      </c>
      <c r="N259" s="51">
        <f t="shared" si="135"/>
        <v>5204315993.5470581</v>
      </c>
      <c r="O259" s="51">
        <f t="shared" si="135"/>
        <v>5347002101.3495331</v>
      </c>
      <c r="P259" s="51">
        <f t="shared" si="135"/>
        <v>5493968792.3860817</v>
      </c>
      <c r="Q259" s="51">
        <f t="shared" si="135"/>
        <v>5645344484.1537256</v>
      </c>
      <c r="R259" s="51">
        <f t="shared" si="135"/>
        <v>5801261446.6744003</v>
      </c>
      <c r="S259" s="51">
        <f t="shared" si="135"/>
        <v>5961855918.0706949</v>
      </c>
      <c r="T259" s="51">
        <f t="shared" si="135"/>
        <v>6127268223.6088781</v>
      </c>
      <c r="U259" s="51">
        <f t="shared" si="135"/>
        <v>6297642898.3132067</v>
      </c>
      <c r="V259" s="51">
        <f t="shared" si="135"/>
        <v>6473128813.258666</v>
      </c>
      <c r="W259" s="51">
        <f t="shared" si="135"/>
        <v>6653879305.6524887</v>
      </c>
      <c r="X259" s="51">
        <f t="shared" si="135"/>
        <v>6840052312.8181257</v>
      </c>
      <c r="Y259" s="51">
        <f t="shared" si="135"/>
        <v>7031810510.1987314</v>
      </c>
      <c r="Z259" s="51">
        <f t="shared" si="135"/>
        <v>7229321453.5007563</v>
      </c>
    </row>
    <row r="260" spans="1:26" x14ac:dyDescent="0.25">
      <c r="A260" s="168" t="str">
        <f>A247</f>
        <v>Brazil</v>
      </c>
      <c r="B260" s="51">
        <f t="shared" ref="B260:Q268" si="136">IF(C94&lt;C69,C94,C69)</f>
        <v>16341193150</v>
      </c>
      <c r="C260" s="51">
        <f t="shared" si="136"/>
        <v>22710165150</v>
      </c>
      <c r="D260" s="51">
        <f t="shared" si="136"/>
        <v>30060091150</v>
      </c>
      <c r="E260" s="51">
        <f t="shared" si="136"/>
        <v>27610459150</v>
      </c>
      <c r="F260" s="51">
        <f t="shared" si="136"/>
        <v>33421571150</v>
      </c>
      <c r="G260" s="51">
        <f t="shared" si="136"/>
        <v>42755149150</v>
      </c>
      <c r="H260" s="51">
        <f t="shared" si="136"/>
        <v>41364295150</v>
      </c>
      <c r="I260" s="51">
        <f t="shared" si="136"/>
        <v>44792417150</v>
      </c>
      <c r="J260" s="51">
        <f t="shared" si="136"/>
        <v>46108826510</v>
      </c>
      <c r="K260" s="51">
        <f t="shared" si="136"/>
        <v>47464728150.800003</v>
      </c>
      <c r="L260" s="51">
        <f t="shared" si="136"/>
        <v>48861306840.824005</v>
      </c>
      <c r="M260" s="51">
        <f t="shared" si="136"/>
        <v>50299782891.548721</v>
      </c>
      <c r="N260" s="51">
        <f t="shared" si="136"/>
        <v>51781413223.795181</v>
      </c>
      <c r="O260" s="51">
        <f t="shared" si="136"/>
        <v>53307492466.009033</v>
      </c>
      <c r="P260" s="51">
        <f t="shared" si="136"/>
        <v>54879354085.489311</v>
      </c>
      <c r="Q260" s="51">
        <f t="shared" si="136"/>
        <v>56498371553.553993</v>
      </c>
      <c r="R260" s="51">
        <f t="shared" si="135"/>
        <v>58165959545.660614</v>
      </c>
      <c r="S260" s="51">
        <f t="shared" si="135"/>
        <v>59883575177.530426</v>
      </c>
      <c r="T260" s="51">
        <f t="shared" si="135"/>
        <v>61652719278.356339</v>
      </c>
      <c r="U260" s="51">
        <f t="shared" si="135"/>
        <v>63474937702.207031</v>
      </c>
      <c r="V260" s="51">
        <f t="shared" si="135"/>
        <v>65351822678.773247</v>
      </c>
      <c r="W260" s="51">
        <f t="shared" si="135"/>
        <v>67285014204.636444</v>
      </c>
      <c r="X260" s="51">
        <f t="shared" si="135"/>
        <v>69276201476.275543</v>
      </c>
      <c r="Y260" s="51">
        <f t="shared" si="135"/>
        <v>71327124366.063812</v>
      </c>
      <c r="Z260" s="51">
        <f t="shared" si="135"/>
        <v>73439574942.545715</v>
      </c>
    </row>
    <row r="261" spans="1:26" x14ac:dyDescent="0.25">
      <c r="A261" s="168" t="str">
        <f>A248</f>
        <v>Canada</v>
      </c>
      <c r="B261" s="51">
        <f t="shared" si="136"/>
        <v>5782343191.1017885</v>
      </c>
      <c r="C261" s="51">
        <f t="shared" si="135"/>
        <v>6260005191.1017885</v>
      </c>
      <c r="D261" s="51">
        <f t="shared" si="135"/>
        <v>7268794191.1017885</v>
      </c>
      <c r="E261" s="51">
        <f t="shared" si="135"/>
        <v>6649163191.1017885</v>
      </c>
      <c r="F261" s="51">
        <f t="shared" si="135"/>
        <v>6687609191.1017885</v>
      </c>
      <c r="G261" s="51">
        <f t="shared" si="135"/>
        <v>7326502191.1017885</v>
      </c>
      <c r="H261" s="51">
        <f t="shared" si="135"/>
        <v>7798103191.1017885</v>
      </c>
      <c r="I261" s="51">
        <f t="shared" si="135"/>
        <v>8182085191.1017885</v>
      </c>
      <c r="J261" s="51">
        <f t="shared" si="135"/>
        <v>8305422031.1017885</v>
      </c>
      <c r="K261" s="51">
        <f t="shared" si="135"/>
        <v>8432458976.3017883</v>
      </c>
      <c r="L261" s="51">
        <f t="shared" si="135"/>
        <v>8563307029.8577881</v>
      </c>
      <c r="M261" s="51">
        <f t="shared" si="135"/>
        <v>8698080525.0204697</v>
      </c>
      <c r="N261" s="51">
        <f t="shared" si="135"/>
        <v>8836897225.0380287</v>
      </c>
      <c r="O261" s="51">
        <f t="shared" si="135"/>
        <v>8979878426.0561161</v>
      </c>
      <c r="P261" s="51">
        <f t="shared" si="135"/>
        <v>9127149063.1047459</v>
      </c>
      <c r="Q261" s="51">
        <f t="shared" si="135"/>
        <v>9278837819.2648354</v>
      </c>
      <c r="R261" s="51">
        <f t="shared" si="135"/>
        <v>9435077238.109726</v>
      </c>
      <c r="S261" s="51">
        <f t="shared" si="135"/>
        <v>9596003839.5199623</v>
      </c>
      <c r="T261" s="51">
        <f t="shared" si="135"/>
        <v>9761758238.9725075</v>
      </c>
      <c r="U261" s="51">
        <f t="shared" si="135"/>
        <v>9932485270.4086304</v>
      </c>
      <c r="V261" s="51">
        <f t="shared" si="135"/>
        <v>10108334112.787834</v>
      </c>
      <c r="W261" s="51">
        <f t="shared" si="135"/>
        <v>10289458420.438416</v>
      </c>
      <c r="X261" s="51">
        <f t="shared" si="135"/>
        <v>10476016457.318516</v>
      </c>
      <c r="Y261" s="51">
        <f t="shared" si="135"/>
        <v>10668171235.305017</v>
      </c>
      <c r="Z261" s="51">
        <f t="shared" si="135"/>
        <v>10866090656.631115</v>
      </c>
    </row>
    <row r="262" spans="1:26" x14ac:dyDescent="0.25">
      <c r="A262" s="168" t="str">
        <f>A249</f>
        <v>China</v>
      </c>
      <c r="B262" s="51">
        <f t="shared" si="136"/>
        <v>87233609600</v>
      </c>
      <c r="C262" s="51">
        <f t="shared" si="135"/>
        <v>104454619800</v>
      </c>
      <c r="D262" s="51">
        <f t="shared" si="135"/>
        <v>130685985300.00002</v>
      </c>
      <c r="E262" s="51">
        <f t="shared" si="135"/>
        <v>131736575100.00002</v>
      </c>
      <c r="F262" s="51">
        <f t="shared" si="135"/>
        <v>150826621400</v>
      </c>
      <c r="G262" s="51">
        <f t="shared" si="135"/>
        <v>195952575700</v>
      </c>
      <c r="H262" s="51">
        <f t="shared" si="135"/>
        <v>209051862800</v>
      </c>
      <c r="I262" s="51">
        <f t="shared" si="135"/>
        <v>218381903100.00003</v>
      </c>
      <c r="J262" s="51">
        <f t="shared" si="135"/>
        <v>224933360193.00003</v>
      </c>
      <c r="K262" s="51">
        <f t="shared" si="135"/>
        <v>231681360998.79001</v>
      </c>
      <c r="L262" s="51">
        <f t="shared" si="135"/>
        <v>238631801828.75372</v>
      </c>
      <c r="M262" s="51">
        <f t="shared" si="135"/>
        <v>245790755883.61636</v>
      </c>
      <c r="N262" s="51">
        <f t="shared" si="135"/>
        <v>253164478560.12485</v>
      </c>
      <c r="O262" s="51">
        <f t="shared" si="135"/>
        <v>260759412916.92859</v>
      </c>
      <c r="P262" s="51">
        <f t="shared" si="135"/>
        <v>268582195304.43643</v>
      </c>
      <c r="Q262" s="51">
        <f t="shared" si="135"/>
        <v>276639661163.56952</v>
      </c>
      <c r="R262" s="51">
        <f t="shared" si="135"/>
        <v>284938850998.47662</v>
      </c>
      <c r="S262" s="51">
        <f t="shared" si="135"/>
        <v>293487016528.43097</v>
      </c>
      <c r="T262" s="51">
        <f t="shared" si="135"/>
        <v>302291627024.28387</v>
      </c>
      <c r="U262" s="51">
        <f t="shared" si="135"/>
        <v>311360375835.01239</v>
      </c>
      <c r="V262" s="51">
        <f t="shared" si="135"/>
        <v>320701187110.06274</v>
      </c>
      <c r="W262" s="51">
        <f t="shared" si="135"/>
        <v>330322222723.36462</v>
      </c>
      <c r="X262" s="51">
        <f t="shared" si="135"/>
        <v>340231889405.06555</v>
      </c>
      <c r="Y262" s="51">
        <f t="shared" si="135"/>
        <v>350438846087.21753</v>
      </c>
      <c r="Z262" s="51">
        <f t="shared" si="135"/>
        <v>360952011469.83405</v>
      </c>
    </row>
    <row r="263" spans="1:26" x14ac:dyDescent="0.25">
      <c r="A263" s="168" t="str">
        <f>A250</f>
        <v>European Union</v>
      </c>
      <c r="B263" s="51">
        <f t="shared" si="136"/>
        <v>125135495795.58807</v>
      </c>
      <c r="C263" s="51">
        <f t="shared" si="135"/>
        <v>131395538795.58807</v>
      </c>
      <c r="D263" s="51">
        <f t="shared" si="135"/>
        <v>136316061795.58807</v>
      </c>
      <c r="E263" s="51">
        <f t="shared" si="135"/>
        <v>128273123795.58807</v>
      </c>
      <c r="F263" s="51">
        <f t="shared" si="135"/>
        <v>129824164795.58807</v>
      </c>
      <c r="G263" s="51">
        <f t="shared" si="135"/>
        <v>135701684795.58807</v>
      </c>
      <c r="H263" s="51">
        <f t="shared" si="135"/>
        <v>133145876795.58807</v>
      </c>
      <c r="I263" s="51">
        <f t="shared" si="135"/>
        <v>135721475795.58807</v>
      </c>
      <c r="J263" s="51">
        <f t="shared" si="135"/>
        <v>136961809085.58807</v>
      </c>
      <c r="K263" s="51">
        <f t="shared" si="135"/>
        <v>138239352374.28809</v>
      </c>
      <c r="L263" s="51">
        <f t="shared" si="135"/>
        <v>139555221961.64908</v>
      </c>
      <c r="M263" s="51">
        <f t="shared" si="135"/>
        <v>140910567636.63092</v>
      </c>
      <c r="N263" s="51">
        <f t="shared" si="135"/>
        <v>142306573681.86218</v>
      </c>
      <c r="O263" s="51">
        <f t="shared" si="135"/>
        <v>143744459908.45041</v>
      </c>
      <c r="P263" s="51">
        <f t="shared" si="135"/>
        <v>145225482721.8363</v>
      </c>
      <c r="Q263" s="51">
        <f t="shared" si="135"/>
        <v>146750936219.62372</v>
      </c>
      <c r="R263" s="51">
        <f t="shared" si="135"/>
        <v>148322153322.34479</v>
      </c>
      <c r="S263" s="51">
        <f t="shared" si="135"/>
        <v>149940506938.14749</v>
      </c>
      <c r="T263" s="51">
        <f t="shared" si="135"/>
        <v>151607411162.42429</v>
      </c>
      <c r="U263" s="51">
        <f t="shared" si="135"/>
        <v>153324322513.42938</v>
      </c>
      <c r="V263" s="51">
        <f t="shared" si="135"/>
        <v>155092741204.9646</v>
      </c>
      <c r="W263" s="51">
        <f t="shared" si="135"/>
        <v>156914212457.24591</v>
      </c>
      <c r="X263" s="51">
        <f t="shared" si="135"/>
        <v>158790327847.09564</v>
      </c>
      <c r="Y263" s="51">
        <f t="shared" si="135"/>
        <v>160722726698.64087</v>
      </c>
      <c r="Z263" s="51">
        <f t="shared" si="135"/>
        <v>162713097515.73245</v>
      </c>
    </row>
    <row r="264" spans="1:26" x14ac:dyDescent="0.25">
      <c r="A264" s="168" t="str">
        <f>A251</f>
        <v>India</v>
      </c>
      <c r="B264" s="51">
        <f t="shared" si="136"/>
        <v>31111702000</v>
      </c>
      <c r="C264" s="51">
        <f t="shared" si="135"/>
        <v>39926360000</v>
      </c>
      <c r="D264" s="51">
        <f t="shared" si="135"/>
        <v>43012342000</v>
      </c>
      <c r="E264" s="51">
        <f t="shared" si="135"/>
        <v>41379604000</v>
      </c>
      <c r="F264" s="51">
        <f t="shared" si="135"/>
        <v>46126178000</v>
      </c>
      <c r="G264" s="51">
        <f t="shared" si="135"/>
        <v>49472700000</v>
      </c>
      <c r="H264" s="51">
        <f t="shared" si="135"/>
        <v>47734470000</v>
      </c>
      <c r="I264" s="51">
        <f t="shared" si="135"/>
        <v>51356354000</v>
      </c>
      <c r="J264" s="51">
        <f t="shared" si="135"/>
        <v>52897044620</v>
      </c>
      <c r="K264" s="51">
        <f t="shared" si="135"/>
        <v>54483955958.600006</v>
      </c>
      <c r="L264" s="51">
        <f t="shared" si="135"/>
        <v>56118474637.358002</v>
      </c>
      <c r="M264" s="51">
        <f t="shared" si="135"/>
        <v>57802028876.478737</v>
      </c>
      <c r="N264" s="51">
        <f t="shared" si="135"/>
        <v>59536089742.773102</v>
      </c>
      <c r="O264" s="51">
        <f t="shared" si="135"/>
        <v>61322172435.05629</v>
      </c>
      <c r="P264" s="51">
        <f t="shared" si="135"/>
        <v>63161837608.107971</v>
      </c>
      <c r="Q264" s="51">
        <f t="shared" si="135"/>
        <v>65056692736.351212</v>
      </c>
      <c r="R264" s="51">
        <f t="shared" si="135"/>
        <v>67008393518.44175</v>
      </c>
      <c r="S264" s="51">
        <f t="shared" si="135"/>
        <v>69018645323.994995</v>
      </c>
      <c r="T264" s="51">
        <f t="shared" si="135"/>
        <v>71089204683.714844</v>
      </c>
      <c r="U264" s="51">
        <f t="shared" si="135"/>
        <v>73221880824.226303</v>
      </c>
      <c r="V264" s="51">
        <f t="shared" si="135"/>
        <v>75418537248.953094</v>
      </c>
      <c r="W264" s="51">
        <f t="shared" si="135"/>
        <v>77681093366.421677</v>
      </c>
      <c r="X264" s="51">
        <f t="shared" si="135"/>
        <v>80011526167.414337</v>
      </c>
      <c r="Y264" s="51">
        <f t="shared" si="135"/>
        <v>82411871952.436768</v>
      </c>
      <c r="Z264" s="51">
        <f t="shared" si="135"/>
        <v>84884228111.009872</v>
      </c>
    </row>
    <row r="265" spans="1:26" x14ac:dyDescent="0.25">
      <c r="A265" s="168" t="str">
        <f>A252</f>
        <v>Indonesia</v>
      </c>
      <c r="B265" s="51">
        <f t="shared" si="136"/>
        <v>9216450000</v>
      </c>
      <c r="C265" s="51">
        <f t="shared" si="135"/>
        <v>10985478000</v>
      </c>
      <c r="D265" s="51">
        <f t="shared" si="135"/>
        <v>13481302000</v>
      </c>
      <c r="E265" s="51">
        <f t="shared" si="135"/>
        <v>13559770000.000002</v>
      </c>
      <c r="F265" s="51">
        <f t="shared" si="135"/>
        <v>18491138000</v>
      </c>
      <c r="G265" s="51">
        <f t="shared" si="135"/>
        <v>28223174000</v>
      </c>
      <c r="H265" s="51">
        <f t="shared" si="135"/>
        <v>28859560000</v>
      </c>
      <c r="I265" s="51">
        <f t="shared" si="135"/>
        <v>25209368000</v>
      </c>
      <c r="J265" s="51">
        <f t="shared" si="135"/>
        <v>25965649040</v>
      </c>
      <c r="K265" s="51">
        <f t="shared" si="135"/>
        <v>26744618511.200001</v>
      </c>
      <c r="L265" s="51">
        <f t="shared" si="135"/>
        <v>27546957066.535999</v>
      </c>
      <c r="M265" s="51">
        <f t="shared" si="135"/>
        <v>28373365778.532082</v>
      </c>
      <c r="N265" s="51">
        <f t="shared" si="135"/>
        <v>29224566751.888046</v>
      </c>
      <c r="O265" s="51">
        <f t="shared" si="135"/>
        <v>30101303754.444687</v>
      </c>
      <c r="P265" s="51">
        <f t="shared" si="135"/>
        <v>31004342867.07803</v>
      </c>
      <c r="Q265" s="51">
        <f t="shared" si="135"/>
        <v>31934473153.09037</v>
      </c>
      <c r="R265" s="51">
        <f t="shared" si="135"/>
        <v>32892507347.683083</v>
      </c>
      <c r="S265" s="51">
        <f t="shared" si="135"/>
        <v>33879282568.113575</v>
      </c>
      <c r="T265" s="51">
        <f t="shared" si="135"/>
        <v>34895661045.156982</v>
      </c>
      <c r="U265" s="51">
        <f t="shared" si="135"/>
        <v>35942530876.511696</v>
      </c>
      <c r="V265" s="51">
        <f t="shared" si="135"/>
        <v>37020806802.807045</v>
      </c>
      <c r="W265" s="51">
        <f t="shared" si="135"/>
        <v>38131431006.891258</v>
      </c>
      <c r="X265" s="51">
        <f t="shared" si="135"/>
        <v>39275373937.097992</v>
      </c>
      <c r="Y265" s="51">
        <f t="shared" si="135"/>
        <v>40453635155.21093</v>
      </c>
      <c r="Z265" s="51">
        <f t="shared" si="135"/>
        <v>41667244209.867264</v>
      </c>
    </row>
    <row r="266" spans="1:26" x14ac:dyDescent="0.25">
      <c r="A266" s="168" t="str">
        <f>A253</f>
        <v>Japan</v>
      </c>
      <c r="B266" s="51">
        <f t="shared" si="136"/>
        <v>46384205111.95343</v>
      </c>
      <c r="C266" s="51">
        <f t="shared" si="135"/>
        <v>46139829111.95343</v>
      </c>
      <c r="D266" s="51">
        <f t="shared" si="135"/>
        <v>46988349111.95343</v>
      </c>
      <c r="E266" s="51">
        <f t="shared" si="135"/>
        <v>47470963111.95343</v>
      </c>
      <c r="F266" s="51">
        <f t="shared" si="135"/>
        <v>48067160111.95343</v>
      </c>
      <c r="G266" s="51">
        <f t="shared" si="135"/>
        <v>48491804111.95343</v>
      </c>
      <c r="H266" s="51">
        <f t="shared" si="135"/>
        <v>48991799111.95343</v>
      </c>
      <c r="I266" s="51">
        <f t="shared" si="135"/>
        <v>47412534111.95343</v>
      </c>
      <c r="J266" s="51">
        <f t="shared" si="135"/>
        <v>47625976401.95343</v>
      </c>
      <c r="K266" s="51">
        <f t="shared" si="135"/>
        <v>47845821960.653427</v>
      </c>
      <c r="L266" s="51">
        <f t="shared" si="135"/>
        <v>48072262886.114433</v>
      </c>
      <c r="M266" s="51">
        <f t="shared" si="135"/>
        <v>48305497039.339264</v>
      </c>
      <c r="N266" s="51">
        <f t="shared" si="135"/>
        <v>48545728217.160835</v>
      </c>
      <c r="O266" s="51">
        <f t="shared" si="135"/>
        <v>48793166330.317062</v>
      </c>
      <c r="P266" s="51">
        <f t="shared" si="135"/>
        <v>49048027586.867966</v>
      </c>
      <c r="Q266" s="51">
        <f t="shared" si="135"/>
        <v>49310534681.115402</v>
      </c>
      <c r="R266" s="51">
        <f t="shared" si="135"/>
        <v>49580916988.190262</v>
      </c>
      <c r="S266" s="51">
        <f t="shared" si="135"/>
        <v>49859410764.477371</v>
      </c>
      <c r="T266" s="51">
        <f t="shared" si="135"/>
        <v>50146259354.053085</v>
      </c>
      <c r="U266" s="51">
        <f t="shared" si="135"/>
        <v>50441713401.316078</v>
      </c>
      <c r="V266" s="51">
        <f t="shared" si="135"/>
        <v>50746031069.996956</v>
      </c>
      <c r="W266" s="51">
        <f t="shared" si="135"/>
        <v>51059478268.738266</v>
      </c>
      <c r="X266" s="51">
        <f t="shared" si="135"/>
        <v>51382328883.441803</v>
      </c>
      <c r="Y266" s="51">
        <f t="shared" si="135"/>
        <v>51714865016.586456</v>
      </c>
      <c r="Z266" s="51">
        <f t="shared" si="135"/>
        <v>52057377233.725449</v>
      </c>
    </row>
    <row r="267" spans="1:26" x14ac:dyDescent="0.25">
      <c r="A267" s="168" t="str">
        <f>A254</f>
        <v>United States of America</v>
      </c>
      <c r="B267" s="51">
        <f t="shared" si="136"/>
        <v>37275354000</v>
      </c>
      <c r="C267" s="51">
        <f t="shared" si="135"/>
        <v>43507358000</v>
      </c>
      <c r="D267" s="51">
        <f t="shared" si="135"/>
        <v>44029063000</v>
      </c>
      <c r="E267" s="51">
        <f t="shared" si="135"/>
        <v>41804075000</v>
      </c>
      <c r="F267" s="51">
        <f t="shared" si="135"/>
        <v>46696855000</v>
      </c>
      <c r="G267" s="51">
        <f t="shared" si="135"/>
        <v>49508893000</v>
      </c>
      <c r="H267" s="51">
        <f t="shared" si="135"/>
        <v>50668008000</v>
      </c>
      <c r="I267" s="51">
        <f t="shared" si="135"/>
        <v>50208429000</v>
      </c>
      <c r="J267" s="51">
        <f t="shared" si="135"/>
        <v>51141681870</v>
      </c>
      <c r="K267" s="51">
        <f t="shared" si="135"/>
        <v>52102932326.100006</v>
      </c>
      <c r="L267" s="51">
        <f t="shared" si="135"/>
        <v>53093020295.883003</v>
      </c>
      <c r="M267" s="51">
        <f t="shared" si="135"/>
        <v>54112810904.759491</v>
      </c>
      <c r="N267" s="51">
        <f t="shared" si="135"/>
        <v>55163195231.902275</v>
      </c>
      <c r="O267" s="51">
        <f t="shared" si="135"/>
        <v>56245091088.859344</v>
      </c>
      <c r="P267" s="51">
        <f t="shared" si="135"/>
        <v>57359443821.525124</v>
      </c>
      <c r="Q267" s="51">
        <f t="shared" si="135"/>
        <v>58507227136.170876</v>
      </c>
      <c r="R267" s="51">
        <f t="shared" si="135"/>
        <v>59689443950.256004</v>
      </c>
      <c r="S267" s="51">
        <f t="shared" si="135"/>
        <v>60907127268.76368</v>
      </c>
      <c r="T267" s="51">
        <f t="shared" si="135"/>
        <v>62161341086.826591</v>
      </c>
      <c r="U267" s="51">
        <f t="shared" si="135"/>
        <v>63453181319.431389</v>
      </c>
      <c r="V267" s="51">
        <f t="shared" si="135"/>
        <v>64783776759.014328</v>
      </c>
      <c r="W267" s="51">
        <f t="shared" si="135"/>
        <v>66154290061.78476</v>
      </c>
      <c r="X267" s="51">
        <f t="shared" si="135"/>
        <v>67565918763.638298</v>
      </c>
      <c r="Y267" s="51">
        <f t="shared" si="135"/>
        <v>69019896326.547455</v>
      </c>
      <c r="Z267" s="51">
        <f t="shared" si="135"/>
        <v>70517493216.343872</v>
      </c>
    </row>
    <row r="268" spans="1:26" x14ac:dyDescent="0.25">
      <c r="A268" s="168">
        <f>A255</f>
        <v>0</v>
      </c>
      <c r="B268" s="51" t="e">
        <f t="shared" si="136"/>
        <v>#N/A</v>
      </c>
      <c r="C268" s="51" t="e">
        <f t="shared" si="135"/>
        <v>#N/A</v>
      </c>
      <c r="D268" s="51" t="e">
        <f t="shared" si="135"/>
        <v>#N/A</v>
      </c>
      <c r="E268" s="51" t="e">
        <f t="shared" si="135"/>
        <v>#N/A</v>
      </c>
      <c r="F268" s="51" t="e">
        <f t="shared" si="135"/>
        <v>#N/A</v>
      </c>
      <c r="G268" s="51" t="e">
        <f t="shared" si="135"/>
        <v>#N/A</v>
      </c>
      <c r="H268" s="51" t="e">
        <f t="shared" si="135"/>
        <v>#N/A</v>
      </c>
      <c r="I268" s="51" t="e">
        <f t="shared" si="135"/>
        <v>#N/A</v>
      </c>
      <c r="J268" s="51" t="e">
        <f t="shared" si="135"/>
        <v>#N/A</v>
      </c>
      <c r="K268" s="51" t="e">
        <f t="shared" si="135"/>
        <v>#N/A</v>
      </c>
      <c r="L268" s="51" t="e">
        <f t="shared" si="135"/>
        <v>#N/A</v>
      </c>
      <c r="M268" s="51" t="e">
        <f t="shared" si="135"/>
        <v>#N/A</v>
      </c>
      <c r="N268" s="51" t="e">
        <f t="shared" si="135"/>
        <v>#N/A</v>
      </c>
      <c r="O268" s="51" t="e">
        <f t="shared" si="135"/>
        <v>#N/A</v>
      </c>
      <c r="P268" s="51" t="e">
        <f t="shared" si="135"/>
        <v>#N/A</v>
      </c>
      <c r="Q268" s="51" t="e">
        <f t="shared" si="135"/>
        <v>#N/A</v>
      </c>
      <c r="R268" s="51" t="e">
        <f t="shared" si="135"/>
        <v>#N/A</v>
      </c>
      <c r="S268" s="51" t="e">
        <f t="shared" si="135"/>
        <v>#N/A</v>
      </c>
      <c r="T268" s="51" t="e">
        <f t="shared" si="135"/>
        <v>#N/A</v>
      </c>
      <c r="U268" s="51" t="e">
        <f t="shared" si="135"/>
        <v>#N/A</v>
      </c>
      <c r="V268" s="51" t="e">
        <f t="shared" si="135"/>
        <v>#N/A</v>
      </c>
      <c r="W268" s="51" t="e">
        <f t="shared" si="135"/>
        <v>#N/A</v>
      </c>
      <c r="X268" s="51" t="e">
        <f t="shared" si="135"/>
        <v>#N/A</v>
      </c>
      <c r="Y268" s="51" t="e">
        <f t="shared" si="135"/>
        <v>#N/A</v>
      </c>
      <c r="Z268" s="51" t="e">
        <f t="shared" si="135"/>
        <v>#N/A</v>
      </c>
    </row>
    <row r="269" spans="1:26" x14ac:dyDescent="0.25">
      <c r="A269" s="168"/>
    </row>
  </sheetData>
  <mergeCells count="23">
    <mergeCell ref="A232:C232"/>
    <mergeCell ref="A244:C244"/>
    <mergeCell ref="A257:C257"/>
    <mergeCell ref="A92:C92"/>
    <mergeCell ref="A79:C79"/>
    <mergeCell ref="A1:C1"/>
    <mergeCell ref="A14:C14"/>
    <mergeCell ref="A27:C27"/>
    <mergeCell ref="A40:C40"/>
    <mergeCell ref="A53:C53"/>
    <mergeCell ref="A66:C66"/>
    <mergeCell ref="A170:C170"/>
    <mergeCell ref="A104:C104"/>
    <mergeCell ref="A118:C118"/>
    <mergeCell ref="A131:C131"/>
    <mergeCell ref="A144:C144"/>
    <mergeCell ref="A157:C157"/>
    <mergeCell ref="A218:C218"/>
    <mergeCell ref="A183:C183"/>
    <mergeCell ref="A188:C188"/>
    <mergeCell ref="A202:C202"/>
    <mergeCell ref="A210:C210"/>
    <mergeCell ref="A195:C195"/>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169"/>
  <sheetViews>
    <sheetView workbookViewId="0">
      <selection activeCell="A2" sqref="A2"/>
    </sheetView>
  </sheetViews>
  <sheetFormatPr defaultRowHeight="15" x14ac:dyDescent="0.25"/>
  <cols>
    <col min="1" max="1" width="40" bestFit="1" customWidth="1"/>
    <col min="2" max="6" width="15.42578125" bestFit="1" customWidth="1"/>
    <col min="7" max="9" width="16.85546875" bestFit="1" customWidth="1"/>
  </cols>
  <sheetData>
    <row r="1" spans="1:9" ht="14.65" thickBot="1" x14ac:dyDescent="0.55000000000000004">
      <c r="A1" s="153" t="s">
        <v>161</v>
      </c>
      <c r="B1" s="152">
        <v>2006</v>
      </c>
      <c r="C1" s="152">
        <v>2007</v>
      </c>
      <c r="D1" s="152">
        <v>2008</v>
      </c>
      <c r="E1" s="152">
        <v>2009</v>
      </c>
      <c r="F1" s="152">
        <v>2010</v>
      </c>
      <c r="G1" s="152">
        <v>2011</v>
      </c>
      <c r="H1" s="152">
        <v>2012</v>
      </c>
      <c r="I1" s="152">
        <v>2013</v>
      </c>
    </row>
    <row r="2" spans="1:9" ht="14.45" x14ac:dyDescent="0.5">
      <c r="A2" s="151" t="s">
        <v>250</v>
      </c>
      <c r="B2" s="155">
        <v>1501370000</v>
      </c>
      <c r="C2" s="155">
        <v>1703580000</v>
      </c>
      <c r="D2" s="155">
        <v>1909870000</v>
      </c>
      <c r="E2" s="155">
        <v>1875630000</v>
      </c>
      <c r="F2" s="155">
        <v>1941050000</v>
      </c>
      <c r="G2" s="155">
        <v>2211420000</v>
      </c>
      <c r="H2" s="155">
        <v>2213540000</v>
      </c>
      <c r="I2" s="155">
        <v>2516490000</v>
      </c>
    </row>
    <row r="3" spans="1:9" ht="14.45" x14ac:dyDescent="0.5">
      <c r="A3" s="151" t="s">
        <v>251</v>
      </c>
      <c r="B3" s="155" t="s">
        <v>58</v>
      </c>
      <c r="C3" s="155" t="s">
        <v>58</v>
      </c>
      <c r="D3" s="155" t="s">
        <v>58</v>
      </c>
      <c r="E3" s="155" t="s">
        <v>58</v>
      </c>
      <c r="F3" s="155" t="s">
        <v>58</v>
      </c>
      <c r="G3" s="155" t="s">
        <v>58</v>
      </c>
      <c r="H3" s="155" t="s">
        <v>58</v>
      </c>
      <c r="I3" s="155" t="s">
        <v>58</v>
      </c>
    </row>
    <row r="4" spans="1:9" ht="14.45" x14ac:dyDescent="0.5">
      <c r="A4" s="149" t="s">
        <v>252</v>
      </c>
      <c r="B4" s="155" t="s">
        <v>58</v>
      </c>
      <c r="C4" s="155" t="s">
        <v>58</v>
      </c>
      <c r="D4" s="155" t="s">
        <v>58</v>
      </c>
      <c r="E4" s="155" t="s">
        <v>58</v>
      </c>
      <c r="F4" s="155">
        <v>7602190000</v>
      </c>
      <c r="G4" s="155">
        <v>7815870000</v>
      </c>
      <c r="H4" s="155">
        <v>8155970000</v>
      </c>
      <c r="I4" s="155">
        <v>8799260000</v>
      </c>
    </row>
    <row r="5" spans="1:9" ht="14.45" x14ac:dyDescent="0.5">
      <c r="A5" s="149" t="s">
        <v>253</v>
      </c>
      <c r="B5" s="155">
        <v>15170000</v>
      </c>
      <c r="C5" s="155">
        <v>18260000</v>
      </c>
      <c r="D5" s="155">
        <v>25170000</v>
      </c>
      <c r="E5" s="155">
        <v>24850000</v>
      </c>
      <c r="F5" s="155">
        <v>22200000</v>
      </c>
      <c r="G5" s="155">
        <v>23430000</v>
      </c>
      <c r="H5" s="155">
        <v>24400000</v>
      </c>
      <c r="I5" s="155">
        <v>25060000</v>
      </c>
    </row>
    <row r="6" spans="1:9" ht="14.45" x14ac:dyDescent="0.5">
      <c r="A6" s="149" t="s">
        <v>254</v>
      </c>
      <c r="B6" s="155">
        <v>19370100000</v>
      </c>
      <c r="C6" s="155">
        <v>27009740000</v>
      </c>
      <c r="D6" s="155">
        <v>30690670000</v>
      </c>
      <c r="E6" s="155">
        <v>21186960000</v>
      </c>
      <c r="F6" s="155">
        <v>33814390000</v>
      </c>
      <c r="G6" s="155">
        <v>40866370000</v>
      </c>
      <c r="H6" s="155">
        <v>38685480000</v>
      </c>
      <c r="I6" s="155">
        <v>42644070000</v>
      </c>
    </row>
    <row r="7" spans="1:9" ht="14.45" x14ac:dyDescent="0.5">
      <c r="A7" s="149" t="s">
        <v>255</v>
      </c>
      <c r="B7" s="155">
        <v>977870000</v>
      </c>
      <c r="C7" s="155">
        <v>1366050000</v>
      </c>
      <c r="D7" s="155">
        <v>1530070000</v>
      </c>
      <c r="E7" s="155">
        <v>1127070000</v>
      </c>
      <c r="F7" s="155">
        <v>1356400000</v>
      </c>
      <c r="G7" s="155">
        <v>1708430000</v>
      </c>
      <c r="H7" s="155">
        <v>1553410000</v>
      </c>
      <c r="I7" s="155">
        <v>1687990000</v>
      </c>
    </row>
    <row r="8" spans="1:9" ht="14.45" x14ac:dyDescent="0.5">
      <c r="A8" s="149" t="s">
        <v>1</v>
      </c>
      <c r="B8" s="155">
        <v>21914840000</v>
      </c>
      <c r="C8" s="155">
        <v>27997630000</v>
      </c>
      <c r="D8" s="155">
        <v>34654620000</v>
      </c>
      <c r="E8" s="155">
        <v>29716470000</v>
      </c>
      <c r="F8" s="155">
        <v>31683240000</v>
      </c>
      <c r="G8" s="155">
        <v>41370890000</v>
      </c>
      <c r="H8" s="155">
        <v>42626950000</v>
      </c>
      <c r="I8" s="155">
        <v>41027430000</v>
      </c>
    </row>
    <row r="9" spans="1:9" ht="14.45" x14ac:dyDescent="0.5">
      <c r="A9" s="149" t="s">
        <v>256</v>
      </c>
      <c r="B9" s="155">
        <v>5651610000</v>
      </c>
      <c r="C9" s="155">
        <v>7096330000</v>
      </c>
      <c r="D9" s="155">
        <v>7916150000</v>
      </c>
      <c r="E9" s="155">
        <v>6562860000</v>
      </c>
      <c r="F9" s="155">
        <v>7081250000</v>
      </c>
      <c r="G9" s="155">
        <v>8412480000</v>
      </c>
      <c r="H9" s="155">
        <v>7865510000</v>
      </c>
      <c r="I9" s="155">
        <v>8055460000</v>
      </c>
    </row>
    <row r="10" spans="1:9" ht="14.45" x14ac:dyDescent="0.5">
      <c r="A10" s="149" t="s">
        <v>257</v>
      </c>
      <c r="B10" s="155" t="s">
        <v>58</v>
      </c>
      <c r="C10" s="155" t="s">
        <v>58</v>
      </c>
      <c r="D10" s="155" t="s">
        <v>58</v>
      </c>
      <c r="E10" s="155" t="s">
        <v>58</v>
      </c>
      <c r="F10" s="155" t="s">
        <v>58</v>
      </c>
      <c r="G10" s="155" t="s">
        <v>58</v>
      </c>
      <c r="H10" s="155" t="s">
        <v>58</v>
      </c>
      <c r="I10" s="155" t="s">
        <v>58</v>
      </c>
    </row>
    <row r="11" spans="1:9" ht="14.45" x14ac:dyDescent="0.5">
      <c r="A11" s="149" t="s">
        <v>258</v>
      </c>
      <c r="B11" s="155">
        <v>9480480000</v>
      </c>
      <c r="C11" s="155">
        <v>11279000000</v>
      </c>
      <c r="D11" s="155">
        <v>13645200000</v>
      </c>
      <c r="E11" s="155">
        <v>14163720000</v>
      </c>
      <c r="F11" s="155">
        <v>15757450000</v>
      </c>
      <c r="G11" s="155">
        <v>16599500000</v>
      </c>
      <c r="H11" s="155">
        <v>14966210000</v>
      </c>
      <c r="I11" s="155">
        <v>17343530000</v>
      </c>
    </row>
    <row r="12" spans="1:9" ht="14.45" x14ac:dyDescent="0.5">
      <c r="A12" s="149" t="s">
        <v>259</v>
      </c>
      <c r="B12" s="155">
        <v>60190000</v>
      </c>
      <c r="C12" s="155">
        <v>62110000</v>
      </c>
      <c r="D12" s="155">
        <v>56570000</v>
      </c>
      <c r="E12" s="155">
        <v>62870000</v>
      </c>
      <c r="F12" s="155">
        <v>61190000</v>
      </c>
      <c r="G12" s="155">
        <v>63200000</v>
      </c>
      <c r="H12" s="155">
        <v>70290000</v>
      </c>
      <c r="I12" s="155">
        <v>72660000</v>
      </c>
    </row>
    <row r="13" spans="1:9" ht="14.45" x14ac:dyDescent="0.5">
      <c r="A13" s="149" t="s">
        <v>260</v>
      </c>
      <c r="B13" s="155">
        <v>6901090000</v>
      </c>
      <c r="C13" s="155">
        <v>7553250000</v>
      </c>
      <c r="D13" s="155">
        <v>7664520000</v>
      </c>
      <c r="E13" s="155">
        <v>6853970000</v>
      </c>
      <c r="F13" s="155">
        <v>7188650000</v>
      </c>
      <c r="G13" s="155">
        <v>7643830000</v>
      </c>
      <c r="H13" s="155">
        <v>7378880000</v>
      </c>
      <c r="I13" s="155">
        <v>8543040000.000001</v>
      </c>
    </row>
    <row r="14" spans="1:9" ht="14.45" x14ac:dyDescent="0.5">
      <c r="A14" s="149" t="s">
        <v>261</v>
      </c>
      <c r="B14" s="155">
        <v>135910000</v>
      </c>
      <c r="C14" s="155">
        <v>139170000</v>
      </c>
      <c r="D14" s="155">
        <v>142030000</v>
      </c>
      <c r="E14" s="155">
        <v>145030000</v>
      </c>
      <c r="F14" s="155">
        <v>145830000</v>
      </c>
      <c r="G14" s="155">
        <v>144230000</v>
      </c>
      <c r="H14" s="155">
        <v>162210000</v>
      </c>
      <c r="I14" s="155">
        <v>170710000</v>
      </c>
    </row>
    <row r="15" spans="1:9" ht="14.45" x14ac:dyDescent="0.5">
      <c r="A15" s="149" t="s">
        <v>262</v>
      </c>
      <c r="B15" s="155" t="s">
        <v>58</v>
      </c>
      <c r="C15" s="155" t="s">
        <v>58</v>
      </c>
      <c r="D15" s="155" t="s">
        <v>58</v>
      </c>
      <c r="E15" s="155">
        <v>3457220000</v>
      </c>
      <c r="F15" s="155">
        <v>3190100000</v>
      </c>
      <c r="G15" s="155">
        <v>4072640000</v>
      </c>
      <c r="H15" s="155">
        <v>3989180000</v>
      </c>
      <c r="I15" s="155">
        <v>5470960000</v>
      </c>
    </row>
    <row r="16" spans="1:9" ht="14.45" x14ac:dyDescent="0.5">
      <c r="A16" s="149" t="s">
        <v>263</v>
      </c>
      <c r="B16" s="155">
        <v>1590250000</v>
      </c>
      <c r="C16" s="155">
        <v>1921240000</v>
      </c>
      <c r="D16" s="155">
        <v>2522910000</v>
      </c>
      <c r="E16" s="155">
        <v>3319220000</v>
      </c>
      <c r="F16" s="155">
        <v>3646890000</v>
      </c>
      <c r="G16" s="155">
        <v>3731840000</v>
      </c>
      <c r="H16" s="155">
        <v>4130750000</v>
      </c>
      <c r="I16" s="155">
        <v>4534520000</v>
      </c>
    </row>
    <row r="17" spans="1:9" ht="14.45" x14ac:dyDescent="0.5">
      <c r="A17" s="149" t="s">
        <v>264</v>
      </c>
      <c r="B17" s="155">
        <v>32030000</v>
      </c>
      <c r="C17" s="155">
        <v>28640000</v>
      </c>
      <c r="D17" s="155">
        <v>30640000</v>
      </c>
      <c r="E17" s="155">
        <v>39110000</v>
      </c>
      <c r="F17" s="155">
        <v>49650000</v>
      </c>
      <c r="G17" s="155">
        <v>71750000</v>
      </c>
      <c r="H17" s="155">
        <v>43490000</v>
      </c>
      <c r="I17" s="155">
        <v>35850000</v>
      </c>
    </row>
    <row r="18" spans="1:9" ht="14.45" x14ac:dyDescent="0.5">
      <c r="A18" s="149" t="s">
        <v>2</v>
      </c>
      <c r="B18" s="155">
        <v>77145440000</v>
      </c>
      <c r="C18" s="155">
        <v>108990300000</v>
      </c>
      <c r="D18" s="155">
        <v>145739930000</v>
      </c>
      <c r="E18" s="155">
        <v>133491769999.99998</v>
      </c>
      <c r="F18" s="155">
        <v>162547330000</v>
      </c>
      <c r="G18" s="155">
        <v>209215220000</v>
      </c>
      <c r="H18" s="155">
        <v>202260950000</v>
      </c>
      <c r="I18" s="155">
        <v>219401560000</v>
      </c>
    </row>
    <row r="19" spans="1:9" x14ac:dyDescent="0.25">
      <c r="A19" s="149" t="s">
        <v>265</v>
      </c>
      <c r="B19" s="155">
        <v>65580000</v>
      </c>
      <c r="C19" s="155">
        <v>73160000</v>
      </c>
      <c r="D19" s="155">
        <v>79120000</v>
      </c>
      <c r="E19" s="155">
        <v>78620000</v>
      </c>
      <c r="F19" s="155">
        <v>87370000</v>
      </c>
      <c r="G19" s="155">
        <v>107130000</v>
      </c>
      <c r="H19" s="155">
        <v>116300000</v>
      </c>
      <c r="I19" s="155">
        <v>130350000</v>
      </c>
    </row>
    <row r="20" spans="1:9" x14ac:dyDescent="0.25">
      <c r="A20" s="149" t="s">
        <v>266</v>
      </c>
      <c r="B20" s="155">
        <v>2277460000</v>
      </c>
      <c r="C20" s="155">
        <v>2615090000</v>
      </c>
      <c r="D20" s="155">
        <v>4279229999.9999995</v>
      </c>
      <c r="E20" s="155">
        <v>3132680000</v>
      </c>
      <c r="F20" s="155">
        <v>3652730000</v>
      </c>
      <c r="G20" s="155">
        <v>4526710000</v>
      </c>
      <c r="H20" s="155">
        <v>4395420000</v>
      </c>
      <c r="I20" s="155">
        <v>4581220000</v>
      </c>
    </row>
    <row r="21" spans="1:9" x14ac:dyDescent="0.25">
      <c r="A21" s="149" t="s">
        <v>267</v>
      </c>
      <c r="B21" s="155">
        <v>960070000</v>
      </c>
      <c r="C21" s="155">
        <v>916070000</v>
      </c>
      <c r="D21" s="155">
        <v>1840680000</v>
      </c>
      <c r="E21" s="155">
        <v>1557870000</v>
      </c>
      <c r="F21" s="155">
        <v>1905290000</v>
      </c>
      <c r="G21" s="155">
        <v>1804500000</v>
      </c>
      <c r="H21" s="155">
        <v>1990150000</v>
      </c>
      <c r="I21" s="155">
        <v>2097100000</v>
      </c>
    </row>
    <row r="22" spans="1:9" x14ac:dyDescent="0.25">
      <c r="A22" s="149" t="s">
        <v>268</v>
      </c>
      <c r="B22" s="155">
        <v>1748080000</v>
      </c>
      <c r="C22" s="155">
        <v>1495190000</v>
      </c>
      <c r="D22" s="155">
        <v>1590230000</v>
      </c>
      <c r="E22" s="155">
        <v>1724770000</v>
      </c>
      <c r="F22" s="155">
        <v>1883760000</v>
      </c>
      <c r="G22" s="155">
        <v>1959060000</v>
      </c>
      <c r="H22" s="155">
        <v>1513620000</v>
      </c>
      <c r="I22" s="155">
        <v>2087889999.9999998</v>
      </c>
    </row>
    <row r="23" spans="1:9" x14ac:dyDescent="0.25">
      <c r="A23" s="149" t="s">
        <v>269</v>
      </c>
      <c r="B23" s="155">
        <v>2901630000</v>
      </c>
      <c r="C23" s="155">
        <v>3594460000</v>
      </c>
      <c r="D23" s="155">
        <v>4885330000</v>
      </c>
      <c r="E23" s="155">
        <v>4495280000</v>
      </c>
      <c r="F23" s="155">
        <v>5516630000</v>
      </c>
      <c r="G23" s="155">
        <v>7171630000</v>
      </c>
      <c r="H23" s="155">
        <v>8102270000</v>
      </c>
      <c r="I23" s="155">
        <v>8366530000.000001</v>
      </c>
    </row>
    <row r="24" spans="1:9" x14ac:dyDescent="0.25">
      <c r="A24" s="149" t="s">
        <v>270</v>
      </c>
      <c r="B24" s="155">
        <v>3769170000</v>
      </c>
      <c r="C24" s="155">
        <v>4681920000</v>
      </c>
      <c r="D24" s="155">
        <v>5958420000</v>
      </c>
      <c r="E24" s="155">
        <v>6009600000</v>
      </c>
      <c r="F24" s="155">
        <v>7247530000</v>
      </c>
      <c r="G24" s="155">
        <v>7667280000</v>
      </c>
      <c r="H24" s="155">
        <v>7709030000</v>
      </c>
      <c r="I24" s="155">
        <v>8567860000.000001</v>
      </c>
    </row>
    <row r="25" spans="1:9" x14ac:dyDescent="0.25">
      <c r="A25" s="149" t="s">
        <v>3</v>
      </c>
      <c r="B25" s="155">
        <v>17114860000</v>
      </c>
      <c r="C25" s="155">
        <v>21891480000</v>
      </c>
      <c r="D25" s="155">
        <v>31979370000</v>
      </c>
      <c r="E25" s="155">
        <v>25783060000</v>
      </c>
      <c r="F25" s="155">
        <v>26167520000</v>
      </c>
      <c r="G25" s="155">
        <v>32556450000</v>
      </c>
      <c r="H25" s="155">
        <v>37272460000</v>
      </c>
      <c r="I25" s="155">
        <v>41112280000</v>
      </c>
    </row>
    <row r="26" spans="1:9" x14ac:dyDescent="0.25">
      <c r="A26" s="149" t="s">
        <v>271</v>
      </c>
      <c r="B26" s="155" t="s">
        <v>58</v>
      </c>
      <c r="C26" s="155" t="s">
        <v>58</v>
      </c>
      <c r="D26" s="155" t="s">
        <v>58</v>
      </c>
      <c r="E26" s="155" t="s">
        <v>58</v>
      </c>
      <c r="F26" s="155" t="s">
        <v>58</v>
      </c>
      <c r="G26" s="155" t="s">
        <v>58</v>
      </c>
      <c r="H26" s="155" t="s">
        <v>58</v>
      </c>
      <c r="I26" s="155" t="s">
        <v>58</v>
      </c>
    </row>
    <row r="27" spans="1:9" x14ac:dyDescent="0.25">
      <c r="A27" s="149" t="s">
        <v>272</v>
      </c>
      <c r="B27" s="155" t="s">
        <v>58</v>
      </c>
      <c r="C27" s="155" t="s">
        <v>58</v>
      </c>
      <c r="D27" s="155" t="s">
        <v>58</v>
      </c>
      <c r="E27" s="155" t="s">
        <v>58</v>
      </c>
      <c r="F27" s="155" t="s">
        <v>58</v>
      </c>
      <c r="G27" s="155" t="s">
        <v>58</v>
      </c>
      <c r="H27" s="155" t="s">
        <v>58</v>
      </c>
      <c r="I27" s="155" t="s">
        <v>58</v>
      </c>
    </row>
    <row r="28" spans="1:9" x14ac:dyDescent="0.25">
      <c r="A28" s="149" t="s">
        <v>273</v>
      </c>
      <c r="B28" s="155" t="s">
        <v>58</v>
      </c>
      <c r="C28" s="155">
        <v>1976870000</v>
      </c>
      <c r="D28" s="155">
        <v>2759380000</v>
      </c>
      <c r="E28" s="155">
        <v>2876030000</v>
      </c>
      <c r="F28" s="155">
        <v>2644860000</v>
      </c>
      <c r="G28" s="155">
        <v>2646240000</v>
      </c>
      <c r="H28" s="155">
        <v>3685880000</v>
      </c>
      <c r="I28" s="155">
        <v>3662870000</v>
      </c>
    </row>
    <row r="29" spans="1:9" x14ac:dyDescent="0.25">
      <c r="A29" s="149" t="s">
        <v>274</v>
      </c>
      <c r="B29" s="155">
        <v>6132260000</v>
      </c>
      <c r="C29" s="155">
        <v>6788630000</v>
      </c>
      <c r="D29" s="155">
        <v>7550550000</v>
      </c>
      <c r="E29" s="155">
        <v>7889440000</v>
      </c>
      <c r="F29" s="155">
        <v>9116170000</v>
      </c>
      <c r="G29" s="155">
        <v>11113180000</v>
      </c>
      <c r="H29" s="155">
        <v>11832260000</v>
      </c>
      <c r="I29" s="155">
        <v>13955320000</v>
      </c>
    </row>
    <row r="30" spans="1:9" x14ac:dyDescent="0.25">
      <c r="A30" s="149" t="s">
        <v>4</v>
      </c>
      <c r="B30" s="155">
        <v>513138880000</v>
      </c>
      <c r="C30" s="155">
        <v>614438940000</v>
      </c>
      <c r="D30" s="155">
        <v>768741090000</v>
      </c>
      <c r="E30" s="155">
        <v>774921030000</v>
      </c>
      <c r="F30" s="155">
        <v>887215420000</v>
      </c>
      <c r="G30" s="155">
        <v>1152662210000</v>
      </c>
      <c r="H30" s="155">
        <v>1229716840000</v>
      </c>
      <c r="I30" s="155">
        <v>1284599430000</v>
      </c>
    </row>
    <row r="31" spans="1:9" x14ac:dyDescent="0.25">
      <c r="A31" s="149" t="s">
        <v>275</v>
      </c>
      <c r="B31" s="155">
        <v>12365650000</v>
      </c>
      <c r="C31" s="155">
        <v>15768910000</v>
      </c>
      <c r="D31" s="155">
        <v>19295160000</v>
      </c>
      <c r="E31" s="155">
        <v>17581420000</v>
      </c>
      <c r="F31" s="155">
        <v>19835160000</v>
      </c>
      <c r="G31" s="155">
        <v>21937300000</v>
      </c>
      <c r="H31" s="155">
        <v>23045960000</v>
      </c>
      <c r="I31" s="155">
        <v>22105730000</v>
      </c>
    </row>
    <row r="32" spans="1:9" x14ac:dyDescent="0.25">
      <c r="A32" s="149" t="s">
        <v>276</v>
      </c>
      <c r="B32" s="155">
        <v>929280000</v>
      </c>
      <c r="C32" s="155">
        <v>1233270000</v>
      </c>
      <c r="D32" s="155">
        <v>1609700000</v>
      </c>
      <c r="E32" s="155">
        <v>1772380000</v>
      </c>
      <c r="F32" s="155">
        <v>2279660000</v>
      </c>
      <c r="G32" s="155">
        <v>2647120000</v>
      </c>
      <c r="H32" s="155">
        <v>2780210000</v>
      </c>
      <c r="I32" s="155">
        <v>3510130000</v>
      </c>
    </row>
    <row r="33" spans="1:9" x14ac:dyDescent="0.25">
      <c r="A33" s="149" t="s">
        <v>277</v>
      </c>
      <c r="B33" s="155">
        <v>2355930000</v>
      </c>
      <c r="C33" s="155">
        <v>2326840000</v>
      </c>
      <c r="D33" s="155">
        <v>2796290000</v>
      </c>
      <c r="E33" s="155">
        <v>2930220000</v>
      </c>
      <c r="F33" s="155">
        <v>3478230000</v>
      </c>
      <c r="G33" s="155">
        <v>3906780000</v>
      </c>
      <c r="H33" s="155">
        <v>3827880000</v>
      </c>
      <c r="I33" s="155">
        <v>4111270000.0000005</v>
      </c>
    </row>
    <row r="34" spans="1:9" x14ac:dyDescent="0.25">
      <c r="A34" s="149" t="s">
        <v>278</v>
      </c>
      <c r="B34" s="155">
        <v>4181399999.9999995</v>
      </c>
      <c r="C34" s="155">
        <v>4568000000</v>
      </c>
      <c r="D34" s="155">
        <v>5817200000</v>
      </c>
      <c r="E34" s="155">
        <v>6055760000</v>
      </c>
      <c r="F34" s="155">
        <v>7770850000</v>
      </c>
      <c r="G34" s="155">
        <v>8370610000.000001</v>
      </c>
      <c r="H34" s="155">
        <v>8421020000</v>
      </c>
      <c r="I34" s="155">
        <v>9195150000</v>
      </c>
    </row>
    <row r="35" spans="1:9" x14ac:dyDescent="0.25">
      <c r="A35" s="149" t="s">
        <v>279</v>
      </c>
      <c r="B35" s="155">
        <v>1527770000</v>
      </c>
      <c r="C35" s="155">
        <v>1938450000</v>
      </c>
      <c r="D35" s="155">
        <v>2326340000</v>
      </c>
      <c r="E35" s="155">
        <v>1857060000</v>
      </c>
      <c r="F35" s="155">
        <v>1878360000</v>
      </c>
      <c r="G35" s="155">
        <v>2110300000.0000002</v>
      </c>
      <c r="H35" s="155">
        <v>1840250000</v>
      </c>
      <c r="I35" s="155">
        <v>1814650000</v>
      </c>
    </row>
    <row r="36" spans="1:9" x14ac:dyDescent="0.25">
      <c r="A36" s="149" t="s">
        <v>280</v>
      </c>
      <c r="B36" s="155" t="s">
        <v>58</v>
      </c>
      <c r="C36" s="155" t="s">
        <v>58</v>
      </c>
      <c r="D36" s="155" t="s">
        <v>58</v>
      </c>
      <c r="E36" s="155" t="s">
        <v>58</v>
      </c>
      <c r="F36" s="155" t="s">
        <v>58</v>
      </c>
      <c r="G36" s="155" t="s">
        <v>58</v>
      </c>
      <c r="H36" s="155" t="s">
        <v>58</v>
      </c>
      <c r="I36" s="155" t="s">
        <v>58</v>
      </c>
    </row>
    <row r="37" spans="1:9" x14ac:dyDescent="0.25">
      <c r="A37" s="149" t="s">
        <v>281</v>
      </c>
      <c r="B37" s="155">
        <v>684960000</v>
      </c>
      <c r="C37" s="155">
        <v>764560000</v>
      </c>
      <c r="D37" s="155">
        <v>874920000</v>
      </c>
      <c r="E37" s="155">
        <v>785420000</v>
      </c>
      <c r="F37" s="155">
        <v>750330000</v>
      </c>
      <c r="G37" s="155">
        <v>823670000</v>
      </c>
      <c r="H37" s="155">
        <v>742670000</v>
      </c>
      <c r="I37" s="155">
        <v>773930000</v>
      </c>
    </row>
    <row r="38" spans="1:9" x14ac:dyDescent="0.25">
      <c r="A38" s="149" t="s">
        <v>282</v>
      </c>
      <c r="B38" s="155">
        <v>4515680000</v>
      </c>
      <c r="C38" s="155">
        <v>5621390000</v>
      </c>
      <c r="D38" s="155">
        <v>7675970000</v>
      </c>
      <c r="E38" s="155">
        <v>4971800000</v>
      </c>
      <c r="F38" s="155">
        <v>4844060000</v>
      </c>
      <c r="G38" s="155">
        <v>6627550000</v>
      </c>
      <c r="H38" s="155">
        <v>5728430000</v>
      </c>
      <c r="I38" s="155">
        <v>6346850000</v>
      </c>
    </row>
    <row r="39" spans="1:9" x14ac:dyDescent="0.25">
      <c r="A39" s="150" t="s">
        <v>283</v>
      </c>
      <c r="B39" s="155" t="s">
        <v>58</v>
      </c>
      <c r="C39" s="155" t="s">
        <v>58</v>
      </c>
      <c r="D39" s="155" t="s">
        <v>58</v>
      </c>
      <c r="E39" s="155" t="s">
        <v>58</v>
      </c>
      <c r="F39" s="155" t="s">
        <v>58</v>
      </c>
      <c r="G39" s="155" t="s">
        <v>58</v>
      </c>
      <c r="H39" s="155" t="s">
        <v>58</v>
      </c>
      <c r="I39" s="155" t="s">
        <v>58</v>
      </c>
    </row>
    <row r="40" spans="1:9" x14ac:dyDescent="0.25">
      <c r="A40" s="149" t="s">
        <v>284</v>
      </c>
      <c r="B40" s="155">
        <v>7675670000</v>
      </c>
      <c r="C40" s="155">
        <v>9269290000</v>
      </c>
      <c r="D40" s="155">
        <v>10923270000</v>
      </c>
      <c r="E40" s="155">
        <v>8504330000</v>
      </c>
      <c r="F40" s="155">
        <v>8747080000</v>
      </c>
      <c r="G40" s="155">
        <v>10709780000</v>
      </c>
      <c r="H40" s="155">
        <v>10826390000</v>
      </c>
      <c r="I40" s="155">
        <v>11219620000</v>
      </c>
    </row>
    <row r="41" spans="1:9" x14ac:dyDescent="0.25">
      <c r="A41" s="149" t="s">
        <v>285</v>
      </c>
      <c r="B41" s="155" t="s">
        <v>58</v>
      </c>
      <c r="C41" s="155" t="s">
        <v>58</v>
      </c>
      <c r="D41" s="155" t="s">
        <v>58</v>
      </c>
      <c r="E41" s="155" t="s">
        <v>58</v>
      </c>
      <c r="F41" s="155" t="s">
        <v>58</v>
      </c>
      <c r="G41" s="155" t="s">
        <v>58</v>
      </c>
      <c r="H41" s="155" t="s">
        <v>58</v>
      </c>
      <c r="I41" s="155" t="s">
        <v>58</v>
      </c>
    </row>
    <row r="42" spans="1:9" x14ac:dyDescent="0.25">
      <c r="A42" s="149" t="s">
        <v>286</v>
      </c>
      <c r="B42" s="155" t="s">
        <v>58</v>
      </c>
      <c r="C42" s="155" t="s">
        <v>58</v>
      </c>
      <c r="D42" s="155" t="s">
        <v>58</v>
      </c>
      <c r="E42" s="155" t="s">
        <v>58</v>
      </c>
      <c r="F42" s="155" t="s">
        <v>58</v>
      </c>
      <c r="G42" s="155" t="s">
        <v>58</v>
      </c>
      <c r="H42" s="155" t="s">
        <v>58</v>
      </c>
      <c r="I42" s="155" t="s">
        <v>58</v>
      </c>
    </row>
    <row r="43" spans="1:9" x14ac:dyDescent="0.25">
      <c r="A43" s="149" t="s">
        <v>287</v>
      </c>
      <c r="B43" s="155">
        <v>2379380000</v>
      </c>
      <c r="C43" s="155">
        <v>3273210000</v>
      </c>
      <c r="D43" s="155">
        <v>2771940000</v>
      </c>
      <c r="E43" s="155">
        <v>2934760000</v>
      </c>
      <c r="F43" s="155">
        <v>2903370000</v>
      </c>
      <c r="G43" s="155">
        <v>3080780000</v>
      </c>
      <c r="H43" s="155">
        <v>3786340000</v>
      </c>
      <c r="I43" s="155">
        <v>3570760000</v>
      </c>
    </row>
    <row r="44" spans="1:9" x14ac:dyDescent="0.25">
      <c r="A44" s="149" t="s">
        <v>288</v>
      </c>
      <c r="B44" s="155">
        <v>4107880000</v>
      </c>
      <c r="C44" s="155">
        <v>4828730000</v>
      </c>
      <c r="D44" s="155">
        <v>5657630000</v>
      </c>
      <c r="E44" s="155">
        <v>6575880000</v>
      </c>
      <c r="F44" s="155">
        <v>7389780000</v>
      </c>
      <c r="G44" s="155">
        <v>7683570000</v>
      </c>
      <c r="H44" s="155">
        <v>7447030000</v>
      </c>
      <c r="I44" s="155">
        <v>7898760000</v>
      </c>
    </row>
    <row r="45" spans="1:9" x14ac:dyDescent="0.25">
      <c r="A45" s="149" t="s">
        <v>289</v>
      </c>
      <c r="B45" s="155">
        <v>17909890000</v>
      </c>
      <c r="C45" s="155">
        <v>21580060000</v>
      </c>
      <c r="D45" s="155">
        <v>26449240000</v>
      </c>
      <c r="E45" s="155">
        <v>25999230000</v>
      </c>
      <c r="F45" s="155">
        <v>28132160000</v>
      </c>
      <c r="G45" s="155">
        <v>31640350000</v>
      </c>
      <c r="H45" s="155">
        <v>33197350000</v>
      </c>
      <c r="I45" s="155">
        <v>30732380000</v>
      </c>
    </row>
    <row r="46" spans="1:9" x14ac:dyDescent="0.25">
      <c r="A46" s="149" t="s">
        <v>290</v>
      </c>
      <c r="B46" s="155">
        <v>1418430000</v>
      </c>
      <c r="C46" s="155">
        <v>1460540000</v>
      </c>
      <c r="D46" s="155">
        <v>1780710000</v>
      </c>
      <c r="E46" s="155">
        <v>1626630000</v>
      </c>
      <c r="F46" s="155">
        <v>1864850000</v>
      </c>
      <c r="G46" s="155">
        <v>2031490000</v>
      </c>
      <c r="H46" s="155">
        <v>1800830000</v>
      </c>
      <c r="I46" s="155">
        <v>1617420000</v>
      </c>
    </row>
    <row r="47" spans="1:9" x14ac:dyDescent="0.25">
      <c r="A47" s="149" t="s">
        <v>291</v>
      </c>
      <c r="B47" s="155">
        <v>571060000</v>
      </c>
      <c r="C47" s="155">
        <v>812860000</v>
      </c>
      <c r="D47" s="155">
        <v>776260000</v>
      </c>
      <c r="E47" s="155">
        <v>659400000</v>
      </c>
      <c r="F47" s="155">
        <v>760940000</v>
      </c>
      <c r="G47" s="155">
        <v>958330000</v>
      </c>
      <c r="H47" s="155">
        <v>968300000</v>
      </c>
      <c r="I47" s="155">
        <v>1025980000</v>
      </c>
    </row>
    <row r="48" spans="1:9" x14ac:dyDescent="0.25">
      <c r="A48" s="149" t="s">
        <v>5</v>
      </c>
      <c r="B48" s="155">
        <v>307584630000</v>
      </c>
      <c r="C48" s="155">
        <v>370185060000</v>
      </c>
      <c r="D48" s="155">
        <v>419390290000</v>
      </c>
      <c r="E48" s="155">
        <v>338960910000</v>
      </c>
      <c r="F48" s="155">
        <v>354471320000</v>
      </c>
      <c r="G48" s="155">
        <v>413246520000</v>
      </c>
      <c r="H48" s="155">
        <v>387688440000</v>
      </c>
      <c r="I48" s="155">
        <v>413444430000</v>
      </c>
    </row>
    <row r="49" spans="1:9" x14ac:dyDescent="0.25">
      <c r="A49" s="149" t="s">
        <v>292</v>
      </c>
      <c r="B49" s="155">
        <v>285750000</v>
      </c>
      <c r="C49" s="155">
        <v>316250000</v>
      </c>
      <c r="D49" s="155">
        <v>320520000</v>
      </c>
      <c r="E49" s="155">
        <v>272950000</v>
      </c>
      <c r="F49" s="155">
        <v>247810000</v>
      </c>
      <c r="G49" s="155">
        <v>314760000</v>
      </c>
      <c r="H49" s="155">
        <v>312780000</v>
      </c>
      <c r="I49" s="155">
        <v>317070000</v>
      </c>
    </row>
    <row r="50" spans="1:9" x14ac:dyDescent="0.25">
      <c r="A50" s="149" t="s">
        <v>293</v>
      </c>
      <c r="B50" s="155">
        <v>2752930000</v>
      </c>
      <c r="C50" s="155">
        <v>3513870000</v>
      </c>
      <c r="D50" s="155">
        <v>4086640000</v>
      </c>
      <c r="E50" s="155">
        <v>3284130000</v>
      </c>
      <c r="F50" s="155">
        <v>3028570000</v>
      </c>
      <c r="G50" s="155">
        <v>3819520000</v>
      </c>
      <c r="H50" s="155">
        <v>3663540000</v>
      </c>
      <c r="I50" s="155">
        <v>4129920000</v>
      </c>
    </row>
    <row r="51" spans="1:9" x14ac:dyDescent="0.25">
      <c r="A51" s="149" t="s">
        <v>294</v>
      </c>
      <c r="B51" s="155">
        <v>55538220000</v>
      </c>
      <c r="C51" s="155">
        <v>65912509999.999992</v>
      </c>
      <c r="D51" s="155">
        <v>70616960000</v>
      </c>
      <c r="E51" s="155">
        <v>59721150000</v>
      </c>
      <c r="F51" s="155">
        <v>65216740000</v>
      </c>
      <c r="G51" s="155">
        <v>74821890000</v>
      </c>
      <c r="H51" s="155">
        <v>74289460000</v>
      </c>
      <c r="I51" s="155">
        <v>73142010000</v>
      </c>
    </row>
    <row r="52" spans="1:9" x14ac:dyDescent="0.25">
      <c r="A52" s="149" t="s">
        <v>295</v>
      </c>
      <c r="B52" s="155" t="s">
        <v>58</v>
      </c>
      <c r="C52" s="155" t="s">
        <v>58</v>
      </c>
      <c r="D52" s="155" t="s">
        <v>58</v>
      </c>
      <c r="E52" s="155" t="s">
        <v>58</v>
      </c>
      <c r="F52" s="155" t="s">
        <v>58</v>
      </c>
      <c r="G52" s="155" t="s">
        <v>58</v>
      </c>
      <c r="H52" s="155" t="s">
        <v>58</v>
      </c>
      <c r="I52" s="155" t="s">
        <v>58</v>
      </c>
    </row>
    <row r="53" spans="1:9" x14ac:dyDescent="0.25">
      <c r="A53" s="149" t="s">
        <v>296</v>
      </c>
      <c r="B53" s="155">
        <v>97320000</v>
      </c>
      <c r="C53" s="155">
        <v>90350000</v>
      </c>
      <c r="D53" s="155">
        <v>134910000</v>
      </c>
      <c r="E53" s="155">
        <v>139170000</v>
      </c>
      <c r="F53" s="155">
        <v>155550000</v>
      </c>
      <c r="G53" s="155">
        <v>92230000</v>
      </c>
      <c r="H53" s="155">
        <v>98780000</v>
      </c>
      <c r="I53" s="155">
        <v>78390000</v>
      </c>
    </row>
    <row r="54" spans="1:9" x14ac:dyDescent="0.25">
      <c r="A54" s="149" t="s">
        <v>297</v>
      </c>
      <c r="B54" s="155">
        <v>715960000</v>
      </c>
      <c r="C54" s="155">
        <v>957000000</v>
      </c>
      <c r="D54" s="155">
        <v>948020000</v>
      </c>
      <c r="E54" s="155">
        <v>880950000</v>
      </c>
      <c r="F54" s="155">
        <v>787880000</v>
      </c>
      <c r="G54" s="155">
        <v>1149740000</v>
      </c>
      <c r="H54" s="155">
        <v>1028030000</v>
      </c>
      <c r="I54" s="155">
        <v>1251400000</v>
      </c>
    </row>
    <row r="55" spans="1:9" x14ac:dyDescent="0.25">
      <c r="A55" s="149" t="s">
        <v>298</v>
      </c>
      <c r="B55" s="155">
        <v>40333310000</v>
      </c>
      <c r="C55" s="155">
        <v>50480950000</v>
      </c>
      <c r="D55" s="155">
        <v>58475880000</v>
      </c>
      <c r="E55" s="155">
        <v>44630100000</v>
      </c>
      <c r="F55" s="155">
        <v>48055760000</v>
      </c>
      <c r="G55" s="155">
        <v>59324990000</v>
      </c>
      <c r="H55" s="155">
        <v>57075800000</v>
      </c>
      <c r="I55" s="155">
        <v>59298920000</v>
      </c>
    </row>
    <row r="56" spans="1:9" x14ac:dyDescent="0.25">
      <c r="A56" s="149" t="s">
        <v>299</v>
      </c>
      <c r="B56" s="155">
        <v>7020510000</v>
      </c>
      <c r="C56" s="155">
        <v>7762720000</v>
      </c>
      <c r="D56" s="155">
        <v>9632240000</v>
      </c>
      <c r="E56" s="155">
        <v>9330040000</v>
      </c>
      <c r="F56" s="155">
        <v>11286960000</v>
      </c>
      <c r="G56" s="155">
        <v>12677660000</v>
      </c>
      <c r="H56" s="155">
        <v>10863230000</v>
      </c>
      <c r="I56" s="155">
        <v>10958100000</v>
      </c>
    </row>
    <row r="57" spans="1:9" x14ac:dyDescent="0.25">
      <c r="A57" s="149" t="s">
        <v>300</v>
      </c>
      <c r="B57" s="155">
        <v>15603900000</v>
      </c>
      <c r="C57" s="155">
        <v>17465950000</v>
      </c>
      <c r="D57" s="155">
        <v>20188850000</v>
      </c>
      <c r="E57" s="155">
        <v>18240770000</v>
      </c>
      <c r="F57" s="155">
        <v>16021380000</v>
      </c>
      <c r="G57" s="155">
        <v>17041300000</v>
      </c>
      <c r="H57" s="155">
        <v>15768500000</v>
      </c>
      <c r="I57" s="155">
        <v>15747320000</v>
      </c>
    </row>
    <row r="58" spans="1:9" x14ac:dyDescent="0.25">
      <c r="A58" s="149" t="s">
        <v>301</v>
      </c>
      <c r="B58" s="155" t="s">
        <v>58</v>
      </c>
      <c r="C58" s="155" t="s">
        <v>58</v>
      </c>
      <c r="D58" s="155" t="s">
        <v>58</v>
      </c>
      <c r="E58" s="155" t="s">
        <v>58</v>
      </c>
      <c r="F58" s="155" t="s">
        <v>58</v>
      </c>
      <c r="G58" s="155" t="s">
        <v>58</v>
      </c>
      <c r="H58" s="155" t="s">
        <v>58</v>
      </c>
      <c r="I58" s="155" t="s">
        <v>58</v>
      </c>
    </row>
    <row r="59" spans="1:9" x14ac:dyDescent="0.25">
      <c r="A59" s="149" t="s">
        <v>302</v>
      </c>
      <c r="B59" s="155" t="s">
        <v>58</v>
      </c>
      <c r="C59" s="155" t="s">
        <v>58</v>
      </c>
      <c r="D59" s="155" t="s">
        <v>58</v>
      </c>
      <c r="E59" s="155" t="s">
        <v>58</v>
      </c>
      <c r="F59" s="155" t="s">
        <v>58</v>
      </c>
      <c r="G59" s="155" t="s">
        <v>58</v>
      </c>
      <c r="H59" s="155" t="s">
        <v>58</v>
      </c>
      <c r="I59" s="155" t="s">
        <v>58</v>
      </c>
    </row>
    <row r="60" spans="1:9" x14ac:dyDescent="0.25">
      <c r="A60" s="149" t="s">
        <v>303</v>
      </c>
      <c r="B60" s="155">
        <v>897290000</v>
      </c>
      <c r="C60" s="155">
        <v>1432430000</v>
      </c>
      <c r="D60" s="155">
        <v>1009070000</v>
      </c>
      <c r="E60" s="155">
        <v>1305870000</v>
      </c>
      <c r="F60" s="155">
        <v>1073069999.9999999</v>
      </c>
      <c r="G60" s="155">
        <v>980840000</v>
      </c>
      <c r="H60" s="155">
        <v>1258730000</v>
      </c>
      <c r="I60" s="155">
        <v>1431820000</v>
      </c>
    </row>
    <row r="61" spans="1:9" x14ac:dyDescent="0.25">
      <c r="A61" s="149" t="s">
        <v>304</v>
      </c>
      <c r="B61" s="155" t="s">
        <v>58</v>
      </c>
      <c r="C61" s="155" t="s">
        <v>58</v>
      </c>
      <c r="D61" s="155" t="s">
        <v>58</v>
      </c>
      <c r="E61" s="155" t="s">
        <v>58</v>
      </c>
      <c r="F61" s="155" t="s">
        <v>58</v>
      </c>
      <c r="G61" s="155" t="s">
        <v>58</v>
      </c>
      <c r="H61" s="155" t="s">
        <v>58</v>
      </c>
      <c r="I61" s="155" t="s">
        <v>58</v>
      </c>
    </row>
    <row r="62" spans="1:9" x14ac:dyDescent="0.25">
      <c r="A62" s="149" t="s">
        <v>305</v>
      </c>
      <c r="B62" s="155">
        <v>30610000</v>
      </c>
      <c r="C62" s="155">
        <v>84430000</v>
      </c>
      <c r="D62" s="155">
        <v>104580000</v>
      </c>
      <c r="E62" s="155">
        <v>119980000</v>
      </c>
      <c r="F62" s="155">
        <v>132270000.00000001</v>
      </c>
      <c r="G62" s="155">
        <v>122850000</v>
      </c>
      <c r="H62" s="155">
        <v>140100000</v>
      </c>
      <c r="I62" s="155">
        <v>186810000</v>
      </c>
    </row>
    <row r="63" spans="1:9" x14ac:dyDescent="0.25">
      <c r="A63" s="149" t="s">
        <v>306</v>
      </c>
      <c r="B63" s="155" t="s">
        <v>58</v>
      </c>
      <c r="C63" s="155" t="s">
        <v>58</v>
      </c>
      <c r="D63" s="155" t="s">
        <v>58</v>
      </c>
      <c r="E63" s="155" t="s">
        <v>58</v>
      </c>
      <c r="F63" s="155" t="s">
        <v>58</v>
      </c>
      <c r="G63" s="155" t="s">
        <v>58</v>
      </c>
      <c r="H63" s="155" t="s">
        <v>58</v>
      </c>
      <c r="I63" s="155" t="s">
        <v>58</v>
      </c>
    </row>
    <row r="64" spans="1:9" x14ac:dyDescent="0.25">
      <c r="A64" s="149" t="s">
        <v>307</v>
      </c>
      <c r="B64" s="155">
        <v>1749770000</v>
      </c>
      <c r="C64" s="155">
        <v>2104440000</v>
      </c>
      <c r="D64" s="155">
        <v>2192030000</v>
      </c>
      <c r="E64" s="155">
        <v>2373330000</v>
      </c>
      <c r="F64" s="155">
        <v>2476340000</v>
      </c>
      <c r="G64" s="155">
        <v>2856980000</v>
      </c>
      <c r="H64" s="155">
        <v>3028940000</v>
      </c>
      <c r="I64" s="155">
        <v>2418230000</v>
      </c>
    </row>
    <row r="65" spans="1:9" x14ac:dyDescent="0.25">
      <c r="A65" s="149" t="s">
        <v>308</v>
      </c>
      <c r="B65" s="155">
        <v>11750000</v>
      </c>
      <c r="C65" s="155">
        <v>13670000</v>
      </c>
      <c r="D65" s="155">
        <v>18220000</v>
      </c>
      <c r="E65" s="155">
        <v>21540000</v>
      </c>
      <c r="F65" s="155">
        <v>22140000</v>
      </c>
      <c r="G65" s="155">
        <v>24050000</v>
      </c>
      <c r="H65" s="155">
        <v>26270000</v>
      </c>
      <c r="I65" s="155">
        <v>26890000</v>
      </c>
    </row>
    <row r="66" spans="1:9" x14ac:dyDescent="0.25">
      <c r="A66" s="149" t="s">
        <v>309</v>
      </c>
      <c r="B66" s="155">
        <v>5669540000</v>
      </c>
      <c r="C66" s="155">
        <v>7239600000</v>
      </c>
      <c r="D66" s="155">
        <v>9360370000</v>
      </c>
      <c r="E66" s="155">
        <v>6447040000</v>
      </c>
      <c r="F66" s="155">
        <v>6393080000</v>
      </c>
      <c r="G66" s="155">
        <v>8812320000</v>
      </c>
      <c r="H66" s="155">
        <v>7778560000</v>
      </c>
      <c r="I66" s="155">
        <v>8045010000</v>
      </c>
    </row>
    <row r="67" spans="1:9" x14ac:dyDescent="0.25">
      <c r="A67" s="149" t="s">
        <v>310</v>
      </c>
      <c r="B67" s="155">
        <v>278270000</v>
      </c>
      <c r="C67" s="155">
        <v>253710000</v>
      </c>
      <c r="D67" s="155">
        <v>215100000</v>
      </c>
      <c r="E67" s="155">
        <v>166070000</v>
      </c>
      <c r="F67" s="155">
        <v>176890000</v>
      </c>
      <c r="G67" s="155">
        <v>205820000</v>
      </c>
      <c r="H67" s="155">
        <v>204440000</v>
      </c>
      <c r="I67" s="155">
        <v>216680000</v>
      </c>
    </row>
    <row r="68" spans="1:9" x14ac:dyDescent="0.25">
      <c r="A68" s="149" t="s">
        <v>6</v>
      </c>
      <c r="B68" s="155">
        <v>155558510000</v>
      </c>
      <c r="C68" s="155">
        <v>199631800000</v>
      </c>
      <c r="D68" s="155">
        <v>215061710000</v>
      </c>
      <c r="E68" s="155">
        <v>206898020000</v>
      </c>
      <c r="F68" s="155">
        <v>230630890000</v>
      </c>
      <c r="G68" s="155">
        <v>247363500000</v>
      </c>
      <c r="H68" s="155">
        <v>238672350000</v>
      </c>
      <c r="I68" s="155">
        <v>256781770000</v>
      </c>
    </row>
    <row r="69" spans="1:9" x14ac:dyDescent="0.25">
      <c r="A69" s="149" t="s">
        <v>7</v>
      </c>
      <c r="B69" s="155">
        <v>46082250000</v>
      </c>
      <c r="C69" s="155">
        <v>54927390000</v>
      </c>
      <c r="D69" s="155">
        <v>67406509999.999992</v>
      </c>
      <c r="E69" s="155">
        <v>67798850000.000008</v>
      </c>
      <c r="F69" s="155">
        <v>92455690000</v>
      </c>
      <c r="G69" s="155">
        <v>141115870000</v>
      </c>
      <c r="H69" s="155">
        <v>144297800000</v>
      </c>
      <c r="I69" s="155">
        <v>126046840000</v>
      </c>
    </row>
    <row r="70" spans="1:9" x14ac:dyDescent="0.25">
      <c r="A70" s="149" t="s">
        <v>311</v>
      </c>
      <c r="B70" s="155">
        <v>5596570000</v>
      </c>
      <c r="C70" s="155">
        <v>6868040000</v>
      </c>
      <c r="D70" s="155">
        <v>7269440000</v>
      </c>
      <c r="E70" s="155">
        <v>5450030000</v>
      </c>
      <c r="F70" s="155">
        <v>6232370000</v>
      </c>
      <c r="G70" s="155">
        <v>7872930000</v>
      </c>
      <c r="H70" s="155">
        <v>7152610000</v>
      </c>
      <c r="I70" s="155">
        <v>7893670000</v>
      </c>
    </row>
    <row r="71" spans="1:9" x14ac:dyDescent="0.25">
      <c r="A71" s="149" t="s">
        <v>312</v>
      </c>
      <c r="B71" s="155">
        <v>2717470000</v>
      </c>
      <c r="C71" s="155">
        <v>3348450000</v>
      </c>
      <c r="D71" s="155">
        <v>4354820000</v>
      </c>
      <c r="E71" s="155">
        <v>4179250000</v>
      </c>
      <c r="F71" s="155">
        <v>4428090000</v>
      </c>
      <c r="G71" s="155">
        <v>4757850000</v>
      </c>
      <c r="H71" s="155">
        <v>4744890000</v>
      </c>
      <c r="I71" s="155">
        <v>5292930000</v>
      </c>
    </row>
    <row r="72" spans="1:9" x14ac:dyDescent="0.25">
      <c r="A72" s="149" t="s">
        <v>313</v>
      </c>
      <c r="B72" s="155">
        <v>40968280000</v>
      </c>
      <c r="C72" s="155">
        <v>46022980000</v>
      </c>
      <c r="D72" s="155">
        <v>51461940000</v>
      </c>
      <c r="E72" s="155">
        <v>44754390000</v>
      </c>
      <c r="F72" s="155">
        <v>42900840000</v>
      </c>
      <c r="G72" s="155">
        <v>47098910000</v>
      </c>
      <c r="H72" s="155">
        <v>42557340000</v>
      </c>
      <c r="I72" s="155">
        <v>45576590000</v>
      </c>
    </row>
    <row r="73" spans="1:9" x14ac:dyDescent="0.25">
      <c r="A73" s="149" t="s">
        <v>314</v>
      </c>
      <c r="B73" s="155">
        <v>1848050000</v>
      </c>
      <c r="C73" s="155">
        <v>2001690000</v>
      </c>
      <c r="D73" s="155">
        <v>1888020000</v>
      </c>
      <c r="E73" s="155">
        <v>1569760000</v>
      </c>
      <c r="F73" s="155">
        <v>1557080000</v>
      </c>
      <c r="G73" s="155">
        <v>1921680000</v>
      </c>
      <c r="H73" s="155">
        <v>2362020000</v>
      </c>
      <c r="I73" s="155">
        <v>2111530000.0000002</v>
      </c>
    </row>
    <row r="74" spans="1:9" x14ac:dyDescent="0.25">
      <c r="A74" s="149" t="s">
        <v>8</v>
      </c>
      <c r="B74" s="155">
        <v>60864140000</v>
      </c>
      <c r="C74" s="155">
        <v>58420380000</v>
      </c>
      <c r="D74" s="155">
        <v>66905580000</v>
      </c>
      <c r="E74" s="155">
        <v>71731720000</v>
      </c>
      <c r="F74" s="155">
        <v>77693690000</v>
      </c>
      <c r="G74" s="155">
        <v>81940130000</v>
      </c>
      <c r="H74" s="155">
        <v>86940080000</v>
      </c>
      <c r="I74" s="155">
        <v>71147430000</v>
      </c>
    </row>
    <row r="75" spans="1:9" x14ac:dyDescent="0.25">
      <c r="A75" s="149" t="s">
        <v>315</v>
      </c>
      <c r="B75" s="155">
        <v>867300000</v>
      </c>
      <c r="C75" s="155">
        <v>1077790000</v>
      </c>
      <c r="D75" s="155">
        <v>1374250000</v>
      </c>
      <c r="E75" s="155">
        <v>1277740000</v>
      </c>
      <c r="F75" s="155">
        <v>1491310000</v>
      </c>
      <c r="G75" s="155">
        <v>1608730000</v>
      </c>
      <c r="H75" s="155">
        <v>1693530000</v>
      </c>
      <c r="I75" s="155">
        <v>2121270000</v>
      </c>
    </row>
    <row r="76" spans="1:9" x14ac:dyDescent="0.25">
      <c r="A76" s="149" t="s">
        <v>316</v>
      </c>
      <c r="B76" s="155">
        <v>3924970000</v>
      </c>
      <c r="C76" s="155">
        <v>5609220000</v>
      </c>
      <c r="D76" s="155">
        <v>7348830000</v>
      </c>
      <c r="E76" s="155">
        <v>7142680000</v>
      </c>
      <c r="F76" s="155">
        <v>5634610000</v>
      </c>
      <c r="G76" s="155">
        <v>10364990000</v>
      </c>
      <c r="H76" s="155">
        <v>7376080000</v>
      </c>
      <c r="I76" s="155">
        <v>9138160000</v>
      </c>
    </row>
    <row r="77" spans="1:9" x14ac:dyDescent="0.25">
      <c r="A77" s="149" t="s">
        <v>317</v>
      </c>
      <c r="B77" s="155">
        <v>6809040000</v>
      </c>
      <c r="C77" s="155">
        <v>8020620000</v>
      </c>
      <c r="D77" s="155">
        <v>9604710000</v>
      </c>
      <c r="E77" s="155">
        <v>9361750000</v>
      </c>
      <c r="F77" s="155">
        <v>9608170000</v>
      </c>
      <c r="G77" s="155">
        <v>9618710000</v>
      </c>
      <c r="H77" s="155">
        <v>11480800000</v>
      </c>
      <c r="I77" s="155">
        <v>10963270000</v>
      </c>
    </row>
    <row r="78" spans="1:9" x14ac:dyDescent="0.25">
      <c r="A78" s="149" t="s">
        <v>318</v>
      </c>
      <c r="B78" s="155">
        <v>38393250000</v>
      </c>
      <c r="C78" s="155">
        <v>37317280000</v>
      </c>
      <c r="D78" s="155">
        <v>33409150000</v>
      </c>
      <c r="E78" s="155">
        <v>29566660000</v>
      </c>
      <c r="F78" s="155">
        <v>29386780000</v>
      </c>
      <c r="G78" s="155">
        <v>32302860000</v>
      </c>
      <c r="H78" s="155">
        <v>32866640000</v>
      </c>
      <c r="I78" s="155">
        <v>32357780000</v>
      </c>
    </row>
    <row r="79" spans="1:9" x14ac:dyDescent="0.25">
      <c r="A79" s="149" t="s">
        <v>319</v>
      </c>
      <c r="B79" s="155" t="s">
        <v>58</v>
      </c>
      <c r="C79" s="155" t="s">
        <v>58</v>
      </c>
      <c r="D79" s="155" t="s">
        <v>58</v>
      </c>
      <c r="E79" s="155" t="s">
        <v>58</v>
      </c>
      <c r="F79" s="155" t="s">
        <v>58</v>
      </c>
      <c r="G79" s="155" t="s">
        <v>58</v>
      </c>
      <c r="H79" s="155" t="s">
        <v>58</v>
      </c>
      <c r="I79" s="155" t="s">
        <v>58</v>
      </c>
    </row>
    <row r="80" spans="1:9" x14ac:dyDescent="0.25">
      <c r="A80" s="149" t="s">
        <v>320</v>
      </c>
      <c r="B80" s="155">
        <v>953300000</v>
      </c>
      <c r="C80" s="155">
        <v>1345260000</v>
      </c>
      <c r="D80" s="155">
        <v>1692010000</v>
      </c>
      <c r="E80" s="155">
        <v>1518460000</v>
      </c>
      <c r="F80" s="155">
        <v>1239880000</v>
      </c>
      <c r="G80" s="155">
        <v>1778020000</v>
      </c>
      <c r="H80" s="155">
        <v>1671080000</v>
      </c>
      <c r="I80" s="155">
        <v>2023580000</v>
      </c>
    </row>
    <row r="81" spans="1:9" x14ac:dyDescent="0.25">
      <c r="A81" s="149" t="s">
        <v>321</v>
      </c>
      <c r="B81" s="155">
        <v>1300160000</v>
      </c>
      <c r="C81" s="155">
        <v>1716760000</v>
      </c>
      <c r="D81" s="155">
        <v>2151160000</v>
      </c>
      <c r="E81" s="155">
        <v>2574340000</v>
      </c>
      <c r="F81" s="155">
        <v>3137750000</v>
      </c>
      <c r="G81" s="155">
        <v>3425880000</v>
      </c>
      <c r="H81" s="155">
        <v>3517650000</v>
      </c>
      <c r="I81" s="155">
        <v>3827450000</v>
      </c>
    </row>
    <row r="82" spans="1:9" x14ac:dyDescent="0.25">
      <c r="A82" s="149" t="s">
        <v>322</v>
      </c>
      <c r="B82" s="155">
        <v>795090000</v>
      </c>
      <c r="C82" s="155">
        <v>1197940000</v>
      </c>
      <c r="D82" s="155">
        <v>1319900000</v>
      </c>
      <c r="E82" s="155">
        <v>960190000</v>
      </c>
      <c r="F82" s="155">
        <v>1085820000</v>
      </c>
      <c r="G82" s="155">
        <v>1353110000</v>
      </c>
      <c r="H82" s="155">
        <v>1471790000</v>
      </c>
      <c r="I82" s="155">
        <v>1359380000</v>
      </c>
    </row>
    <row r="83" spans="1:9" x14ac:dyDescent="0.25">
      <c r="A83" s="149" t="s">
        <v>323</v>
      </c>
      <c r="B83" s="155" t="s">
        <v>58</v>
      </c>
      <c r="C83" s="155" t="s">
        <v>58</v>
      </c>
      <c r="D83" s="155" t="s">
        <v>58</v>
      </c>
      <c r="E83" s="155" t="s">
        <v>58</v>
      </c>
      <c r="F83" s="155" t="s">
        <v>58</v>
      </c>
      <c r="G83" s="155" t="s">
        <v>58</v>
      </c>
      <c r="H83" s="155" t="s">
        <v>58</v>
      </c>
      <c r="I83" s="155" t="s">
        <v>58</v>
      </c>
    </row>
    <row r="84" spans="1:9" x14ac:dyDescent="0.25">
      <c r="A84" s="149" t="s">
        <v>324</v>
      </c>
      <c r="B84" s="155" t="s">
        <v>58</v>
      </c>
      <c r="C84" s="155" t="s">
        <v>58</v>
      </c>
      <c r="D84" s="155" t="s">
        <v>58</v>
      </c>
      <c r="E84" s="155" t="s">
        <v>58</v>
      </c>
      <c r="F84" s="155" t="s">
        <v>58</v>
      </c>
      <c r="G84" s="155" t="s">
        <v>58</v>
      </c>
      <c r="H84" s="155" t="s">
        <v>58</v>
      </c>
      <c r="I84" s="155" t="s">
        <v>58</v>
      </c>
    </row>
    <row r="85" spans="1:9" x14ac:dyDescent="0.25">
      <c r="A85" s="149" t="s">
        <v>325</v>
      </c>
      <c r="B85" s="155" t="s">
        <v>58</v>
      </c>
      <c r="C85" s="155" t="s">
        <v>58</v>
      </c>
      <c r="D85" s="155" t="s">
        <v>58</v>
      </c>
      <c r="E85" s="155" t="s">
        <v>58</v>
      </c>
      <c r="F85" s="155" t="s">
        <v>58</v>
      </c>
      <c r="G85" s="155" t="s">
        <v>58</v>
      </c>
      <c r="H85" s="155" t="s">
        <v>58</v>
      </c>
      <c r="I85" s="155" t="s">
        <v>58</v>
      </c>
    </row>
    <row r="86" spans="1:9" x14ac:dyDescent="0.25">
      <c r="A86" s="149" t="s">
        <v>326</v>
      </c>
      <c r="B86" s="155">
        <v>1043310000</v>
      </c>
      <c r="C86" s="155">
        <v>1973550000</v>
      </c>
      <c r="D86" s="155">
        <v>2258390000</v>
      </c>
      <c r="E86" s="155">
        <v>1552490000</v>
      </c>
      <c r="F86" s="155">
        <v>1672120000</v>
      </c>
      <c r="G86" s="155">
        <v>2401570000</v>
      </c>
      <c r="H86" s="155">
        <v>2630320000</v>
      </c>
      <c r="I86" s="155">
        <v>2431700000</v>
      </c>
    </row>
    <row r="87" spans="1:9" x14ac:dyDescent="0.25">
      <c r="A87" s="149" t="s">
        <v>327</v>
      </c>
      <c r="B87" s="155">
        <v>283900000</v>
      </c>
      <c r="C87" s="155">
        <v>332330000</v>
      </c>
      <c r="D87" s="155">
        <v>384420000</v>
      </c>
      <c r="E87" s="155">
        <v>290090000</v>
      </c>
      <c r="F87" s="155">
        <v>274190000</v>
      </c>
      <c r="G87" s="155">
        <v>313650000</v>
      </c>
      <c r="H87" s="155">
        <v>293950000</v>
      </c>
      <c r="I87" s="155">
        <v>327850000</v>
      </c>
    </row>
    <row r="88" spans="1:9" x14ac:dyDescent="0.25">
      <c r="A88" s="149" t="s">
        <v>328</v>
      </c>
      <c r="B88" s="155" t="s">
        <v>58</v>
      </c>
      <c r="C88" s="155" t="s">
        <v>58</v>
      </c>
      <c r="D88" s="155" t="s">
        <v>58</v>
      </c>
      <c r="E88" s="155" t="s">
        <v>58</v>
      </c>
      <c r="F88" s="155" t="s">
        <v>58</v>
      </c>
      <c r="G88" s="155" t="s">
        <v>58</v>
      </c>
      <c r="H88" s="155" t="s">
        <v>58</v>
      </c>
      <c r="I88" s="155" t="s">
        <v>58</v>
      </c>
    </row>
    <row r="89" spans="1:9" x14ac:dyDescent="0.25">
      <c r="A89" s="150" t="s">
        <v>329</v>
      </c>
      <c r="B89" s="155">
        <v>755960000</v>
      </c>
      <c r="C89" s="155">
        <v>1074010000</v>
      </c>
      <c r="D89" s="155">
        <v>1298120000</v>
      </c>
      <c r="E89" s="155">
        <v>1028440000</v>
      </c>
      <c r="F89" s="155">
        <v>1074500000</v>
      </c>
      <c r="G89" s="155">
        <v>1218860000</v>
      </c>
      <c r="H89" s="155">
        <v>1044900000.0000001</v>
      </c>
      <c r="I89" s="155">
        <v>1199650000</v>
      </c>
    </row>
    <row r="90" spans="1:9" x14ac:dyDescent="0.25">
      <c r="A90" s="149" t="s">
        <v>330</v>
      </c>
      <c r="B90" s="155">
        <v>2041750000</v>
      </c>
      <c r="C90" s="155">
        <v>2913780000</v>
      </c>
      <c r="D90" s="155">
        <v>3731520000</v>
      </c>
      <c r="E90" s="155">
        <v>3697920000</v>
      </c>
      <c r="F90" s="155">
        <v>3530330000</v>
      </c>
      <c r="G90" s="155">
        <v>3811790000</v>
      </c>
      <c r="H90" s="155">
        <v>3569590000</v>
      </c>
      <c r="I90" s="155">
        <v>3432360000</v>
      </c>
    </row>
    <row r="91" spans="1:9" x14ac:dyDescent="0.25">
      <c r="A91" s="149" t="s">
        <v>331</v>
      </c>
      <c r="B91" s="155">
        <v>2659120000</v>
      </c>
      <c r="C91" s="155">
        <v>3255540000</v>
      </c>
      <c r="D91" s="155">
        <v>4257740000</v>
      </c>
      <c r="E91" s="155">
        <v>7112300000</v>
      </c>
      <c r="F91" s="155">
        <v>6545510000</v>
      </c>
      <c r="G91" s="155">
        <v>6899280000</v>
      </c>
      <c r="H91" s="155">
        <v>6806340000</v>
      </c>
      <c r="I91" s="155">
        <v>6795640000</v>
      </c>
    </row>
    <row r="92" spans="1:9" x14ac:dyDescent="0.25">
      <c r="A92" s="149" t="s">
        <v>332</v>
      </c>
      <c r="B92" s="155">
        <v>13839910000</v>
      </c>
      <c r="C92" s="155">
        <v>16009840000</v>
      </c>
      <c r="D92" s="155">
        <v>19402910000</v>
      </c>
      <c r="E92" s="155">
        <v>19196010000</v>
      </c>
      <c r="F92" s="155">
        <v>26012180000</v>
      </c>
      <c r="G92" s="155">
        <v>34574450000</v>
      </c>
      <c r="H92" s="155">
        <v>29044230000</v>
      </c>
      <c r="I92" s="155">
        <v>26091100000</v>
      </c>
    </row>
    <row r="93" spans="1:9" x14ac:dyDescent="0.25">
      <c r="A93" s="149" t="s">
        <v>333</v>
      </c>
      <c r="B93" s="155">
        <v>1080000</v>
      </c>
      <c r="C93" s="155">
        <v>400000</v>
      </c>
      <c r="D93" s="155">
        <v>950000</v>
      </c>
      <c r="E93" s="155">
        <v>1040000</v>
      </c>
      <c r="F93" s="155">
        <v>7230000</v>
      </c>
      <c r="G93" s="155">
        <v>5650000</v>
      </c>
      <c r="H93" s="155">
        <v>5380000</v>
      </c>
      <c r="I93" s="155">
        <v>3560000</v>
      </c>
    </row>
    <row r="94" spans="1:9" x14ac:dyDescent="0.25">
      <c r="A94" s="149" t="s">
        <v>334</v>
      </c>
      <c r="B94" s="155">
        <v>2602780000</v>
      </c>
      <c r="C94" s="155">
        <v>3052190000</v>
      </c>
      <c r="D94" s="155">
        <v>4313940000</v>
      </c>
      <c r="E94" s="155">
        <v>4849630000</v>
      </c>
      <c r="F94" s="155">
        <v>5163360000</v>
      </c>
      <c r="G94" s="155">
        <v>6430800000</v>
      </c>
      <c r="H94" s="155">
        <v>6367140000</v>
      </c>
      <c r="I94" s="155">
        <v>6386130000</v>
      </c>
    </row>
    <row r="95" spans="1:9" x14ac:dyDescent="0.25">
      <c r="A95" s="149" t="s">
        <v>335</v>
      </c>
      <c r="B95" s="155">
        <v>124210000</v>
      </c>
      <c r="C95" s="155">
        <v>145830000</v>
      </c>
      <c r="D95" s="155">
        <v>172440000</v>
      </c>
      <c r="E95" s="155">
        <v>153610000</v>
      </c>
      <c r="F95" s="155">
        <v>144950000</v>
      </c>
      <c r="G95" s="155">
        <v>153910000</v>
      </c>
      <c r="H95" s="155">
        <v>146250000</v>
      </c>
      <c r="I95" s="155">
        <v>158110000</v>
      </c>
    </row>
    <row r="96" spans="1:9" x14ac:dyDescent="0.25">
      <c r="A96" s="149" t="s">
        <v>336</v>
      </c>
      <c r="B96" s="155" t="s">
        <v>58</v>
      </c>
      <c r="C96" s="155" t="s">
        <v>58</v>
      </c>
      <c r="D96" s="155" t="s">
        <v>58</v>
      </c>
      <c r="E96" s="155" t="s">
        <v>58</v>
      </c>
      <c r="F96" s="155" t="s">
        <v>58</v>
      </c>
      <c r="G96" s="155" t="s">
        <v>58</v>
      </c>
      <c r="H96" s="155" t="s">
        <v>58</v>
      </c>
      <c r="I96" s="155" t="s">
        <v>58</v>
      </c>
    </row>
    <row r="97" spans="1:9" x14ac:dyDescent="0.25">
      <c r="A97" s="149" t="s">
        <v>337</v>
      </c>
      <c r="B97" s="155">
        <v>395540000</v>
      </c>
      <c r="C97" s="155">
        <v>397010000</v>
      </c>
      <c r="D97" s="155">
        <v>460870000</v>
      </c>
      <c r="E97" s="155">
        <v>411460000</v>
      </c>
      <c r="F97" s="155">
        <v>401290000</v>
      </c>
      <c r="G97" s="155">
        <v>443640000</v>
      </c>
      <c r="H97" s="155">
        <v>437370000</v>
      </c>
      <c r="I97" s="155">
        <v>442350000</v>
      </c>
    </row>
    <row r="98" spans="1:9" x14ac:dyDescent="0.25">
      <c r="A98" s="149" t="s">
        <v>338</v>
      </c>
      <c r="B98" s="155">
        <v>35388600000</v>
      </c>
      <c r="C98" s="155">
        <v>39006140000</v>
      </c>
      <c r="D98" s="155">
        <v>42777000000</v>
      </c>
      <c r="E98" s="155">
        <v>36270640000</v>
      </c>
      <c r="F98" s="155">
        <v>42011240000</v>
      </c>
      <c r="G98" s="155">
        <v>46314050000</v>
      </c>
      <c r="H98" s="155">
        <v>48353930000</v>
      </c>
      <c r="I98" s="155">
        <v>51385660000</v>
      </c>
    </row>
    <row r="99" spans="1:9" x14ac:dyDescent="0.25">
      <c r="A99" s="149" t="s">
        <v>339</v>
      </c>
      <c r="B99" s="155">
        <v>934170000</v>
      </c>
      <c r="C99" s="155">
        <v>925580000</v>
      </c>
      <c r="D99" s="155">
        <v>1470950000</v>
      </c>
      <c r="E99" s="155">
        <v>1047390000.0000001</v>
      </c>
      <c r="F99" s="155">
        <v>1431650000</v>
      </c>
      <c r="G99" s="155">
        <v>1711770000</v>
      </c>
      <c r="H99" s="155">
        <v>1412220000</v>
      </c>
      <c r="I99" s="155">
        <v>1580050000</v>
      </c>
    </row>
    <row r="100" spans="1:9" x14ac:dyDescent="0.25">
      <c r="A100" s="149" t="s">
        <v>340</v>
      </c>
      <c r="B100" s="155">
        <v>299260000</v>
      </c>
      <c r="C100" s="155">
        <v>435730000</v>
      </c>
      <c r="D100" s="155">
        <v>760060000</v>
      </c>
      <c r="E100" s="155">
        <v>891360000</v>
      </c>
      <c r="F100" s="155">
        <v>925000000</v>
      </c>
      <c r="G100" s="155">
        <v>1232550000</v>
      </c>
      <c r="H100" s="155">
        <v>968200000</v>
      </c>
      <c r="I100" s="155">
        <v>968640000</v>
      </c>
    </row>
    <row r="101" spans="1:9" x14ac:dyDescent="0.25">
      <c r="A101" s="149" t="s">
        <v>341</v>
      </c>
      <c r="B101" s="155" t="s">
        <v>58</v>
      </c>
      <c r="C101" s="155" t="s">
        <v>58</v>
      </c>
      <c r="D101" s="155" t="s">
        <v>58</v>
      </c>
      <c r="E101" s="155" t="s">
        <v>58</v>
      </c>
      <c r="F101" s="155" t="s">
        <v>58</v>
      </c>
      <c r="G101" s="155" t="s">
        <v>58</v>
      </c>
      <c r="H101" s="155" t="s">
        <v>58</v>
      </c>
      <c r="I101" s="155" t="s">
        <v>58</v>
      </c>
    </row>
    <row r="102" spans="1:9" x14ac:dyDescent="0.25">
      <c r="A102" s="149" t="s">
        <v>342</v>
      </c>
      <c r="B102" s="155">
        <v>9363970000</v>
      </c>
      <c r="C102" s="155">
        <v>9352680000</v>
      </c>
      <c r="D102" s="155">
        <v>12234260000</v>
      </c>
      <c r="E102" s="155">
        <v>12904230000</v>
      </c>
      <c r="F102" s="155">
        <v>12628730000</v>
      </c>
      <c r="G102" s="155">
        <v>14049450000</v>
      </c>
      <c r="H102" s="155">
        <v>12738780000</v>
      </c>
      <c r="I102" s="155">
        <v>14241540000</v>
      </c>
    </row>
    <row r="103" spans="1:9" x14ac:dyDescent="0.25">
      <c r="A103" s="149" t="s">
        <v>343</v>
      </c>
      <c r="B103" s="155">
        <v>2921190000</v>
      </c>
      <c r="C103" s="155">
        <v>3596060000</v>
      </c>
      <c r="D103" s="155">
        <v>4325980000</v>
      </c>
      <c r="E103" s="155">
        <v>4864170000</v>
      </c>
      <c r="F103" s="155">
        <v>5722740000</v>
      </c>
      <c r="G103" s="155">
        <v>8699610000</v>
      </c>
      <c r="H103" s="155">
        <v>9598660000</v>
      </c>
      <c r="I103" s="155">
        <v>9175270000</v>
      </c>
    </row>
    <row r="104" spans="1:9" x14ac:dyDescent="0.25">
      <c r="A104" s="149" t="s">
        <v>344</v>
      </c>
      <c r="B104" s="155" t="s">
        <v>58</v>
      </c>
      <c r="C104" s="155" t="s">
        <v>58</v>
      </c>
      <c r="D104" s="155" t="s">
        <v>58</v>
      </c>
      <c r="E104" s="155" t="s">
        <v>58</v>
      </c>
      <c r="F104" s="155" t="s">
        <v>58</v>
      </c>
      <c r="G104" s="155" t="s">
        <v>58</v>
      </c>
      <c r="H104" s="155" t="s">
        <v>58</v>
      </c>
      <c r="I104" s="155" t="s">
        <v>58</v>
      </c>
    </row>
    <row r="105" spans="1:9" x14ac:dyDescent="0.25">
      <c r="A105" s="149" t="s">
        <v>345</v>
      </c>
      <c r="B105" s="155">
        <v>349480000</v>
      </c>
      <c r="C105" s="155">
        <v>354490000</v>
      </c>
      <c r="D105" s="155">
        <v>277580000</v>
      </c>
      <c r="E105" s="155">
        <v>298610000</v>
      </c>
      <c r="F105" s="155">
        <v>568490000</v>
      </c>
      <c r="G105" s="155">
        <v>585270000</v>
      </c>
      <c r="H105" s="155">
        <v>537910000</v>
      </c>
      <c r="I105" s="155">
        <v>363400000</v>
      </c>
    </row>
    <row r="106" spans="1:9" x14ac:dyDescent="0.25">
      <c r="A106" s="149" t="s">
        <v>346</v>
      </c>
      <c r="B106" s="155">
        <v>3619340000</v>
      </c>
      <c r="C106" s="155">
        <v>4265390000.0000005</v>
      </c>
      <c r="D106" s="155">
        <v>4462530000</v>
      </c>
      <c r="E106" s="155">
        <v>5556430000</v>
      </c>
      <c r="F106" s="155">
        <v>7147600000</v>
      </c>
      <c r="G106" s="155">
        <v>8091900000</v>
      </c>
      <c r="H106" s="155">
        <v>8519750000</v>
      </c>
      <c r="I106" s="155">
        <v>7684140000</v>
      </c>
    </row>
    <row r="107" spans="1:9" x14ac:dyDescent="0.25">
      <c r="A107" s="149" t="s">
        <v>347</v>
      </c>
      <c r="B107" s="155">
        <v>9369300000</v>
      </c>
      <c r="C107" s="155">
        <v>11209440000</v>
      </c>
      <c r="D107" s="155">
        <v>11837370000</v>
      </c>
      <c r="E107" s="155">
        <v>9787360000</v>
      </c>
      <c r="F107" s="155">
        <v>11147840000</v>
      </c>
      <c r="G107" s="155">
        <v>12170510000</v>
      </c>
      <c r="H107" s="155">
        <v>11462340000</v>
      </c>
      <c r="I107" s="155">
        <v>13829330000</v>
      </c>
    </row>
    <row r="108" spans="1:9" x14ac:dyDescent="0.25">
      <c r="A108" s="149" t="s">
        <v>348</v>
      </c>
      <c r="B108" s="155">
        <v>5106590000</v>
      </c>
      <c r="C108" s="155">
        <v>6393460000</v>
      </c>
      <c r="D108" s="155">
        <v>9106430000</v>
      </c>
      <c r="E108" s="155">
        <v>6574940000</v>
      </c>
      <c r="F108" s="155">
        <v>8795510000</v>
      </c>
      <c r="G108" s="155">
        <v>11720730000</v>
      </c>
      <c r="H108" s="155">
        <v>11345520000</v>
      </c>
      <c r="I108" s="155">
        <v>11135900000</v>
      </c>
    </row>
    <row r="109" spans="1:9" x14ac:dyDescent="0.25">
      <c r="A109" s="149" t="s">
        <v>349</v>
      </c>
      <c r="B109" s="155">
        <v>1148490000</v>
      </c>
      <c r="C109" s="155">
        <v>1354800000</v>
      </c>
      <c r="D109" s="155">
        <v>1560880000</v>
      </c>
      <c r="E109" s="155">
        <v>1600190000</v>
      </c>
      <c r="F109" s="155">
        <v>1567720000</v>
      </c>
      <c r="G109" s="155">
        <v>1920190000</v>
      </c>
      <c r="H109" s="155">
        <v>1952430000</v>
      </c>
      <c r="I109" s="155">
        <v>2019960000</v>
      </c>
    </row>
    <row r="110" spans="1:9" x14ac:dyDescent="0.25">
      <c r="A110" s="149" t="s">
        <v>350</v>
      </c>
      <c r="B110" s="155">
        <v>1477640000</v>
      </c>
      <c r="C110" s="155">
        <v>1859400000</v>
      </c>
      <c r="D110" s="155">
        <v>2922730000</v>
      </c>
      <c r="E110" s="155">
        <v>2378040000</v>
      </c>
      <c r="F110" s="155">
        <v>3176990000</v>
      </c>
      <c r="G110" s="155">
        <v>2733310000</v>
      </c>
      <c r="H110" s="155">
        <v>4030660000</v>
      </c>
      <c r="I110" s="155">
        <v>3877210000</v>
      </c>
    </row>
    <row r="111" spans="1:9" x14ac:dyDescent="0.25">
      <c r="A111" s="149" t="s">
        <v>351</v>
      </c>
      <c r="B111" s="155">
        <v>73677360000</v>
      </c>
      <c r="C111" s="155">
        <v>65345860000</v>
      </c>
      <c r="D111" s="155">
        <v>99706710000</v>
      </c>
      <c r="E111" s="155">
        <v>31085320000</v>
      </c>
      <c r="F111" s="155">
        <v>59146270000</v>
      </c>
      <c r="G111" s="155">
        <v>56233510000</v>
      </c>
      <c r="H111" s="155">
        <v>64244800000</v>
      </c>
      <c r="I111" s="155">
        <v>66566890000</v>
      </c>
    </row>
    <row r="112" spans="1:9" x14ac:dyDescent="0.25">
      <c r="A112" s="149" t="s">
        <v>352</v>
      </c>
      <c r="B112" s="155">
        <v>2809270000</v>
      </c>
      <c r="C112" s="155">
        <v>3347070000</v>
      </c>
      <c r="D112" s="155">
        <v>3808040000</v>
      </c>
      <c r="E112" s="155">
        <v>3469020000</v>
      </c>
      <c r="F112" s="155">
        <v>3666610000</v>
      </c>
      <c r="G112" s="155">
        <v>3986000000</v>
      </c>
      <c r="H112" s="155">
        <v>4092010000</v>
      </c>
      <c r="I112" s="155">
        <v>4183470000.0000005</v>
      </c>
    </row>
    <row r="113" spans="1:9" x14ac:dyDescent="0.25">
      <c r="A113" s="149" t="s">
        <v>353</v>
      </c>
      <c r="B113" s="155" t="s">
        <v>58</v>
      </c>
      <c r="C113" s="155" t="s">
        <v>58</v>
      </c>
      <c r="D113" s="155" t="s">
        <v>58</v>
      </c>
      <c r="E113" s="155" t="s">
        <v>58</v>
      </c>
      <c r="F113" s="155" t="s">
        <v>58</v>
      </c>
      <c r="G113" s="155">
        <v>96750000</v>
      </c>
      <c r="H113" s="155">
        <v>103160000</v>
      </c>
      <c r="I113" s="155">
        <v>105970000</v>
      </c>
    </row>
    <row r="114" spans="1:9" x14ac:dyDescent="0.25">
      <c r="A114" s="149" t="s">
        <v>354</v>
      </c>
      <c r="B114" s="155">
        <v>21560270000</v>
      </c>
      <c r="C114" s="155">
        <v>23678740000</v>
      </c>
      <c r="D114" s="155">
        <v>22247940000</v>
      </c>
      <c r="E114" s="155">
        <v>26503860000</v>
      </c>
      <c r="F114" s="155">
        <v>27232310000</v>
      </c>
      <c r="G114" s="155">
        <v>33953809999.999996</v>
      </c>
      <c r="H114" s="155">
        <v>30568750000</v>
      </c>
      <c r="I114" s="155">
        <v>26830380000</v>
      </c>
    </row>
    <row r="115" spans="1:9" x14ac:dyDescent="0.25">
      <c r="A115" s="149" t="s">
        <v>355</v>
      </c>
      <c r="B115" s="155">
        <v>564470000</v>
      </c>
      <c r="C115" s="155">
        <v>476100000</v>
      </c>
      <c r="D115" s="155">
        <v>582670000</v>
      </c>
      <c r="E115" s="155">
        <v>682070000</v>
      </c>
      <c r="F115" s="155">
        <v>683940000</v>
      </c>
      <c r="G115" s="155">
        <v>720160000</v>
      </c>
      <c r="H115" s="155">
        <v>911890000</v>
      </c>
      <c r="I115" s="155">
        <v>954480000</v>
      </c>
    </row>
    <row r="116" spans="1:9" x14ac:dyDescent="0.25">
      <c r="A116" s="149" t="s">
        <v>356</v>
      </c>
      <c r="B116" s="155" t="s">
        <v>58</v>
      </c>
      <c r="C116" s="155" t="s">
        <v>58</v>
      </c>
      <c r="D116" s="155" t="s">
        <v>58</v>
      </c>
      <c r="E116" s="155" t="s">
        <v>58</v>
      </c>
      <c r="F116" s="155" t="s">
        <v>58</v>
      </c>
      <c r="G116" s="155" t="s">
        <v>58</v>
      </c>
      <c r="H116" s="155" t="s">
        <v>58</v>
      </c>
      <c r="I116" s="155" t="s">
        <v>58</v>
      </c>
    </row>
    <row r="117" spans="1:9" x14ac:dyDescent="0.25">
      <c r="A117" s="149" t="s">
        <v>357</v>
      </c>
      <c r="B117" s="155">
        <v>2536630000</v>
      </c>
      <c r="C117" s="155">
        <v>3668910000</v>
      </c>
      <c r="D117" s="155">
        <v>5346570000</v>
      </c>
      <c r="E117" s="155">
        <v>3960600000</v>
      </c>
      <c r="F117" s="155">
        <v>6004370000</v>
      </c>
      <c r="G117" s="155">
        <v>8109180000</v>
      </c>
      <c r="H117" s="155">
        <v>6742390000</v>
      </c>
      <c r="I117" s="155">
        <v>9737080000</v>
      </c>
    </row>
    <row r="118" spans="1:9" x14ac:dyDescent="0.25">
      <c r="A118" s="149" t="s">
        <v>358</v>
      </c>
      <c r="B118" s="155">
        <v>5719390000</v>
      </c>
      <c r="C118" s="155">
        <v>6593890000</v>
      </c>
      <c r="D118" s="155">
        <v>8953850000</v>
      </c>
      <c r="E118" s="155">
        <v>9235540000</v>
      </c>
      <c r="F118" s="155">
        <v>10593320000</v>
      </c>
      <c r="G118" s="155">
        <v>12485090000</v>
      </c>
      <c r="H118" s="155">
        <v>13910620000</v>
      </c>
      <c r="I118" s="155">
        <v>14075060000</v>
      </c>
    </row>
    <row r="119" spans="1:9" x14ac:dyDescent="0.25">
      <c r="A119" s="149" t="s">
        <v>359</v>
      </c>
      <c r="B119" s="155">
        <v>16211260000</v>
      </c>
      <c r="C119" s="155">
        <v>20394860000</v>
      </c>
      <c r="D119" s="155">
        <v>24962560000</v>
      </c>
      <c r="E119" s="155">
        <v>23792250000</v>
      </c>
      <c r="F119" s="155">
        <v>27177030000</v>
      </c>
      <c r="G119" s="155">
        <v>30880550000</v>
      </c>
      <c r="H119" s="155">
        <v>32191070000</v>
      </c>
      <c r="I119" s="155">
        <v>32906100000</v>
      </c>
    </row>
    <row r="120" spans="1:9" x14ac:dyDescent="0.25">
      <c r="A120" s="149" t="s">
        <v>360</v>
      </c>
      <c r="B120" s="155">
        <v>14725040000</v>
      </c>
      <c r="C120" s="155">
        <v>20530070000</v>
      </c>
      <c r="D120" s="155">
        <v>23184560000</v>
      </c>
      <c r="E120" s="155">
        <v>16788520000</v>
      </c>
      <c r="F120" s="155">
        <v>18626170000</v>
      </c>
      <c r="G120" s="155">
        <v>22972690000</v>
      </c>
      <c r="H120" s="155">
        <v>22637820000</v>
      </c>
      <c r="I120" s="155">
        <v>23203330000</v>
      </c>
    </row>
    <row r="121" spans="1:9" x14ac:dyDescent="0.25">
      <c r="A121" s="149" t="s">
        <v>361</v>
      </c>
      <c r="B121" s="155">
        <v>5317830000</v>
      </c>
      <c r="C121" s="155">
        <v>5912890000</v>
      </c>
      <c r="D121" s="155">
        <v>6934880000</v>
      </c>
      <c r="E121" s="155">
        <v>6187290000</v>
      </c>
      <c r="F121" s="155">
        <v>6369770000</v>
      </c>
      <c r="G121" s="155">
        <v>6243490000</v>
      </c>
      <c r="H121" s="155">
        <v>6517340000</v>
      </c>
      <c r="I121" s="155">
        <v>7156700000</v>
      </c>
    </row>
    <row r="122" spans="1:9" x14ac:dyDescent="0.25">
      <c r="A122" s="149" t="s">
        <v>362</v>
      </c>
      <c r="B122" s="155">
        <v>37710000</v>
      </c>
      <c r="C122" s="155">
        <v>39200000</v>
      </c>
      <c r="D122" s="155">
        <v>39840000</v>
      </c>
      <c r="E122" s="155">
        <v>36460000</v>
      </c>
      <c r="F122" s="155">
        <v>42650000</v>
      </c>
      <c r="G122" s="155">
        <v>57280000</v>
      </c>
      <c r="H122" s="155">
        <v>60700000</v>
      </c>
      <c r="I122" s="155" t="s">
        <v>58</v>
      </c>
    </row>
    <row r="123" spans="1:9" x14ac:dyDescent="0.25">
      <c r="A123" s="149" t="s">
        <v>363</v>
      </c>
      <c r="B123" s="155">
        <v>14102610000</v>
      </c>
      <c r="C123" s="155">
        <v>15816090000</v>
      </c>
      <c r="D123" s="155">
        <v>21058600000</v>
      </c>
      <c r="E123" s="155">
        <v>16345200000</v>
      </c>
      <c r="F123" s="155">
        <v>16976840000</v>
      </c>
      <c r="G123" s="155">
        <v>22322590000</v>
      </c>
      <c r="H123" s="155">
        <v>16479419999.999998</v>
      </c>
      <c r="I123" s="155">
        <v>20301880000</v>
      </c>
    </row>
    <row r="124" spans="1:9" x14ac:dyDescent="0.25">
      <c r="A124" s="149" t="s">
        <v>364</v>
      </c>
      <c r="B124" s="155">
        <v>53403420000</v>
      </c>
      <c r="C124" s="155">
        <v>67614910000</v>
      </c>
      <c r="D124" s="155">
        <v>88140850000</v>
      </c>
      <c r="E124" s="155">
        <v>68663920000</v>
      </c>
      <c r="F124" s="155">
        <v>68782490000</v>
      </c>
      <c r="G124" s="155">
        <v>95404170000</v>
      </c>
      <c r="H124" s="155">
        <v>89049800000</v>
      </c>
      <c r="I124" s="155">
        <v>96939110000</v>
      </c>
    </row>
    <row r="125" spans="1:9" x14ac:dyDescent="0.25">
      <c r="A125" s="149" t="s">
        <v>365</v>
      </c>
      <c r="B125" s="155">
        <v>1602140000</v>
      </c>
      <c r="C125" s="155">
        <v>1783490000</v>
      </c>
      <c r="D125" s="155">
        <v>2029050000</v>
      </c>
      <c r="E125" s="155">
        <v>2788140000</v>
      </c>
      <c r="F125" s="155">
        <v>2979070000</v>
      </c>
      <c r="G125" s="155">
        <v>3339380000</v>
      </c>
      <c r="H125" s="155">
        <v>3920510000</v>
      </c>
      <c r="I125" s="155">
        <v>4377690000</v>
      </c>
    </row>
    <row r="126" spans="1:9" x14ac:dyDescent="0.25">
      <c r="A126" s="149" t="s">
        <v>366</v>
      </c>
      <c r="B126" s="155" t="s">
        <v>58</v>
      </c>
      <c r="C126" s="155" t="s">
        <v>58</v>
      </c>
      <c r="D126" s="155" t="s">
        <v>58</v>
      </c>
      <c r="E126" s="155" t="s">
        <v>58</v>
      </c>
      <c r="F126" s="155" t="s">
        <v>58</v>
      </c>
      <c r="G126" s="155" t="s">
        <v>58</v>
      </c>
      <c r="H126" s="155" t="s">
        <v>58</v>
      </c>
      <c r="I126" s="155" t="s">
        <v>58</v>
      </c>
    </row>
    <row r="127" spans="1:9" x14ac:dyDescent="0.25">
      <c r="A127" s="149" t="s">
        <v>367</v>
      </c>
      <c r="B127" s="155">
        <v>57490000</v>
      </c>
      <c r="C127" s="155">
        <v>64629999.999999993</v>
      </c>
      <c r="D127" s="155">
        <v>81870000</v>
      </c>
      <c r="E127" s="155">
        <v>84640000</v>
      </c>
      <c r="F127" s="155">
        <v>69680000</v>
      </c>
      <c r="G127" s="155">
        <v>75240000</v>
      </c>
      <c r="H127" s="155">
        <v>78230000</v>
      </c>
      <c r="I127" s="155">
        <v>73480000</v>
      </c>
    </row>
    <row r="128" spans="1:9" x14ac:dyDescent="0.25">
      <c r="A128" s="149" t="s">
        <v>368</v>
      </c>
      <c r="B128" s="155" t="s">
        <v>58</v>
      </c>
      <c r="C128" s="155" t="s">
        <v>58</v>
      </c>
      <c r="D128" s="155">
        <v>150660000</v>
      </c>
      <c r="E128" s="155">
        <v>70330000</v>
      </c>
      <c r="F128" s="155">
        <v>65940000</v>
      </c>
      <c r="G128" s="155">
        <v>78950000</v>
      </c>
      <c r="H128" s="155">
        <v>87590000</v>
      </c>
      <c r="I128" s="155">
        <v>87090000</v>
      </c>
    </row>
    <row r="129" spans="1:9" x14ac:dyDescent="0.25">
      <c r="A129" s="149" t="s">
        <v>369</v>
      </c>
      <c r="B129" s="155" t="s">
        <v>58</v>
      </c>
      <c r="C129" s="155" t="s">
        <v>58</v>
      </c>
      <c r="D129" s="155" t="s">
        <v>58</v>
      </c>
      <c r="E129" s="155" t="s">
        <v>58</v>
      </c>
      <c r="F129" s="155" t="s">
        <v>58</v>
      </c>
      <c r="G129" s="155" t="s">
        <v>58</v>
      </c>
      <c r="H129" s="155" t="s">
        <v>58</v>
      </c>
      <c r="I129" s="155" t="s">
        <v>58</v>
      </c>
    </row>
    <row r="130" spans="1:9" x14ac:dyDescent="0.25">
      <c r="A130" s="149" t="s">
        <v>370</v>
      </c>
      <c r="B130" s="155">
        <v>9042490000</v>
      </c>
      <c r="C130" s="155">
        <v>9477340000</v>
      </c>
      <c r="D130" s="155">
        <v>10540790000</v>
      </c>
      <c r="E130" s="155">
        <v>11090620000</v>
      </c>
      <c r="F130" s="155">
        <v>11443120000</v>
      </c>
      <c r="G130" s="155">
        <v>11733400000</v>
      </c>
      <c r="H130" s="155">
        <v>12179370000</v>
      </c>
      <c r="I130" s="155">
        <v>12307200000</v>
      </c>
    </row>
    <row r="131" spans="1:9" x14ac:dyDescent="0.25">
      <c r="A131" s="149" t="s">
        <v>371</v>
      </c>
      <c r="B131" s="155">
        <v>569540000</v>
      </c>
      <c r="C131" s="155">
        <v>657140000</v>
      </c>
      <c r="D131" s="155">
        <v>1535910000</v>
      </c>
      <c r="E131" s="155">
        <v>1335750000</v>
      </c>
      <c r="F131" s="155">
        <v>1293430000</v>
      </c>
      <c r="G131" s="155">
        <v>890730000</v>
      </c>
      <c r="H131" s="155">
        <v>1030390000.0000001</v>
      </c>
      <c r="I131" s="155">
        <v>1009790000</v>
      </c>
    </row>
    <row r="132" spans="1:9" x14ac:dyDescent="0.25">
      <c r="A132" s="149" t="s">
        <v>372</v>
      </c>
      <c r="B132" s="155" t="s">
        <v>58</v>
      </c>
      <c r="C132" s="155" t="s">
        <v>58</v>
      </c>
      <c r="D132" s="155">
        <v>5990000</v>
      </c>
      <c r="E132" s="155">
        <v>4760000</v>
      </c>
      <c r="F132" s="155">
        <v>5670000</v>
      </c>
      <c r="G132" s="155">
        <v>6190000</v>
      </c>
      <c r="H132" s="155">
        <v>6760000</v>
      </c>
      <c r="I132" s="155">
        <v>9280000</v>
      </c>
    </row>
    <row r="133" spans="1:9" x14ac:dyDescent="0.25">
      <c r="A133" s="149" t="s">
        <v>373</v>
      </c>
      <c r="B133" s="155" t="s">
        <v>58</v>
      </c>
      <c r="C133" s="155" t="s">
        <v>58</v>
      </c>
      <c r="D133" s="155" t="s">
        <v>58</v>
      </c>
      <c r="E133" s="155" t="s">
        <v>58</v>
      </c>
      <c r="F133" s="155" t="s">
        <v>58</v>
      </c>
      <c r="G133" s="155" t="s">
        <v>58</v>
      </c>
      <c r="H133" s="155" t="s">
        <v>58</v>
      </c>
      <c r="I133" s="155" t="s">
        <v>58</v>
      </c>
    </row>
    <row r="134" spans="1:9" x14ac:dyDescent="0.25">
      <c r="A134" s="149" t="s">
        <v>374</v>
      </c>
      <c r="B134" s="155">
        <v>40030000</v>
      </c>
      <c r="C134" s="155">
        <v>46820000</v>
      </c>
      <c r="D134" s="155">
        <v>52290000</v>
      </c>
      <c r="E134" s="155">
        <v>51600000</v>
      </c>
      <c r="F134" s="155">
        <v>53200000</v>
      </c>
      <c r="G134" s="155">
        <v>64069999.999999993</v>
      </c>
      <c r="H134" s="155">
        <v>68050000</v>
      </c>
      <c r="I134" s="155">
        <v>76800000</v>
      </c>
    </row>
    <row r="135" spans="1:9" x14ac:dyDescent="0.25">
      <c r="A135" s="149" t="s">
        <v>375</v>
      </c>
      <c r="B135" s="155">
        <v>1617880000</v>
      </c>
      <c r="C135" s="155">
        <v>2034910000</v>
      </c>
      <c r="D135" s="155">
        <v>2812010000</v>
      </c>
      <c r="E135" s="155">
        <v>1779850000</v>
      </c>
      <c r="F135" s="155">
        <v>1721460000</v>
      </c>
      <c r="G135" s="155">
        <v>2419650000</v>
      </c>
      <c r="H135" s="155">
        <v>2125280000.0000002</v>
      </c>
      <c r="I135" s="155">
        <v>2204980000</v>
      </c>
    </row>
    <row r="136" spans="1:9" x14ac:dyDescent="0.25">
      <c r="A136" s="149" t="s">
        <v>376</v>
      </c>
      <c r="B136" s="155">
        <v>871920000</v>
      </c>
      <c r="C136" s="155">
        <v>1015770000</v>
      </c>
      <c r="D136" s="155">
        <v>1210720000</v>
      </c>
      <c r="E136" s="155">
        <v>940090000</v>
      </c>
      <c r="F136" s="155">
        <v>935980000</v>
      </c>
      <c r="G136" s="155">
        <v>1070550000</v>
      </c>
      <c r="H136" s="155">
        <v>994330000</v>
      </c>
      <c r="I136" s="155">
        <v>1042810000</v>
      </c>
    </row>
    <row r="137" spans="1:9" x14ac:dyDescent="0.25">
      <c r="A137" s="149" t="s">
        <v>377</v>
      </c>
      <c r="B137" s="155" t="s">
        <v>58</v>
      </c>
      <c r="C137" s="155" t="s">
        <v>58</v>
      </c>
      <c r="D137" s="155" t="s">
        <v>58</v>
      </c>
      <c r="E137" s="155" t="s">
        <v>58</v>
      </c>
      <c r="F137" s="155" t="s">
        <v>58</v>
      </c>
      <c r="G137" s="155" t="s">
        <v>58</v>
      </c>
      <c r="H137" s="155" t="s">
        <v>58</v>
      </c>
      <c r="I137" s="155" t="s">
        <v>58</v>
      </c>
    </row>
    <row r="138" spans="1:9" x14ac:dyDescent="0.25">
      <c r="A138" s="149" t="s">
        <v>378</v>
      </c>
      <c r="B138" s="155">
        <v>12656130000</v>
      </c>
      <c r="C138" s="155">
        <v>15157010000</v>
      </c>
      <c r="D138" s="155">
        <v>17062770000</v>
      </c>
      <c r="E138" s="155">
        <v>17044710000</v>
      </c>
      <c r="F138" s="155">
        <v>19693330000</v>
      </c>
      <c r="G138" s="155">
        <v>22593310000</v>
      </c>
      <c r="H138" s="155">
        <v>22809370000</v>
      </c>
      <c r="I138" s="155">
        <v>20886100000</v>
      </c>
    </row>
    <row r="139" spans="1:9" x14ac:dyDescent="0.25">
      <c r="A139" s="149" t="s">
        <v>379</v>
      </c>
      <c r="B139" s="155">
        <v>39492660000</v>
      </c>
      <c r="C139" s="155">
        <v>47461080000</v>
      </c>
      <c r="D139" s="155">
        <v>50315270000</v>
      </c>
      <c r="E139" s="155">
        <v>42262100000</v>
      </c>
      <c r="F139" s="155">
        <v>44548320000</v>
      </c>
      <c r="G139" s="155">
        <v>46240780000</v>
      </c>
      <c r="H139" s="155">
        <v>41217790000</v>
      </c>
      <c r="I139" s="155">
        <v>49960230000</v>
      </c>
    </row>
    <row r="140" spans="1:9" x14ac:dyDescent="0.25">
      <c r="A140" s="149" t="s">
        <v>380</v>
      </c>
      <c r="B140" s="155">
        <v>1993030000</v>
      </c>
      <c r="C140" s="155">
        <v>2294200000</v>
      </c>
      <c r="D140" s="155">
        <v>3562800000</v>
      </c>
      <c r="E140" s="155">
        <v>3172820000</v>
      </c>
      <c r="F140" s="155">
        <v>3739960000</v>
      </c>
      <c r="G140" s="155">
        <v>3961220000</v>
      </c>
      <c r="H140" s="155">
        <v>3593460000</v>
      </c>
      <c r="I140" s="155">
        <v>4443710000</v>
      </c>
    </row>
    <row r="141" spans="1:9" x14ac:dyDescent="0.25">
      <c r="A141" s="149" t="s">
        <v>381</v>
      </c>
      <c r="B141" s="155">
        <v>119390000</v>
      </c>
      <c r="C141" s="155">
        <v>137710000</v>
      </c>
      <c r="D141" s="155">
        <v>189190000</v>
      </c>
      <c r="E141" s="155">
        <v>197870000</v>
      </c>
      <c r="F141" s="155">
        <v>211020000</v>
      </c>
      <c r="G141" s="155">
        <v>222720000</v>
      </c>
      <c r="H141" s="155">
        <v>227610000</v>
      </c>
      <c r="I141" s="155">
        <v>260589999.99999997</v>
      </c>
    </row>
    <row r="142" spans="1:9" x14ac:dyDescent="0.25">
      <c r="A142" s="149" t="s">
        <v>382</v>
      </c>
      <c r="B142" s="155" t="s">
        <v>58</v>
      </c>
      <c r="C142" s="155" t="s">
        <v>58</v>
      </c>
      <c r="D142" s="155" t="s">
        <v>58</v>
      </c>
      <c r="E142" s="155" t="s">
        <v>58</v>
      </c>
      <c r="F142" s="155" t="s">
        <v>58</v>
      </c>
      <c r="G142" s="155" t="s">
        <v>58</v>
      </c>
      <c r="H142" s="155" t="s">
        <v>58</v>
      </c>
      <c r="I142" s="155" t="s">
        <v>58</v>
      </c>
    </row>
    <row r="143" spans="1:9" x14ac:dyDescent="0.25">
      <c r="A143" s="149" t="s">
        <v>383</v>
      </c>
      <c r="B143" s="155">
        <v>3189050000</v>
      </c>
      <c r="C143" s="155">
        <v>4234160000</v>
      </c>
      <c r="D143" s="155">
        <v>4712970000</v>
      </c>
      <c r="E143" s="155">
        <v>3400880000</v>
      </c>
      <c r="F143" s="155">
        <v>3955580000</v>
      </c>
      <c r="G143" s="155">
        <v>4707980000</v>
      </c>
      <c r="H143" s="155">
        <v>4549790000</v>
      </c>
      <c r="I143" s="155">
        <v>4733150000</v>
      </c>
    </row>
    <row r="144" spans="1:9" x14ac:dyDescent="0.25">
      <c r="A144" s="149" t="s">
        <v>384</v>
      </c>
      <c r="B144" s="155">
        <v>5776040000</v>
      </c>
      <c r="C144" s="155">
        <v>6162980000</v>
      </c>
      <c r="D144" s="155">
        <v>7502900000</v>
      </c>
      <c r="E144" s="155">
        <v>6948940000</v>
      </c>
      <c r="F144" s="155">
        <v>6821490000</v>
      </c>
      <c r="G144" s="155">
        <v>8215379999.999999</v>
      </c>
      <c r="H144" s="155">
        <v>7354750000</v>
      </c>
      <c r="I144" s="155">
        <v>7596020000</v>
      </c>
    </row>
    <row r="145" spans="1:9" x14ac:dyDescent="0.25">
      <c r="A145" s="150" t="s">
        <v>385</v>
      </c>
      <c r="B145" s="155" t="s">
        <v>58</v>
      </c>
      <c r="C145" s="155" t="s">
        <v>58</v>
      </c>
      <c r="D145" s="155" t="s">
        <v>58</v>
      </c>
      <c r="E145" s="155" t="s">
        <v>58</v>
      </c>
      <c r="F145" s="155" t="s">
        <v>58</v>
      </c>
      <c r="G145" s="155" t="s">
        <v>58</v>
      </c>
      <c r="H145" s="155" t="s">
        <v>58</v>
      </c>
      <c r="I145" s="155" t="s">
        <v>58</v>
      </c>
    </row>
    <row r="146" spans="1:9" x14ac:dyDescent="0.25">
      <c r="A146" s="150" t="s">
        <v>386</v>
      </c>
      <c r="B146" s="155">
        <v>1176580000</v>
      </c>
      <c r="C146" s="155">
        <v>1021590000</v>
      </c>
      <c r="D146" s="155">
        <v>1269660000</v>
      </c>
      <c r="E146" s="155">
        <v>1619720000</v>
      </c>
      <c r="F146" s="155">
        <v>1964730000</v>
      </c>
      <c r="G146" s="155">
        <v>2361970000</v>
      </c>
      <c r="H146" s="155">
        <v>2564290000</v>
      </c>
      <c r="I146" s="155">
        <v>2828950000</v>
      </c>
    </row>
    <row r="147" spans="1:9" x14ac:dyDescent="0.25">
      <c r="A147" s="149" t="s">
        <v>387</v>
      </c>
      <c r="B147" s="155">
        <v>2415860000</v>
      </c>
      <c r="C147" s="155">
        <v>2210490000</v>
      </c>
      <c r="D147" s="155">
        <v>3326850000</v>
      </c>
      <c r="E147" s="155">
        <v>2876400000</v>
      </c>
      <c r="F147" s="155">
        <v>3666950000</v>
      </c>
      <c r="G147" s="155">
        <v>3337460000</v>
      </c>
      <c r="H147" s="155">
        <v>3818940000</v>
      </c>
      <c r="I147" s="155">
        <v>4343360000</v>
      </c>
    </row>
    <row r="148" spans="1:9" x14ac:dyDescent="0.25">
      <c r="A148" s="149" t="s">
        <v>388</v>
      </c>
      <c r="B148" s="155">
        <v>21173220000</v>
      </c>
      <c r="C148" s="155">
        <v>28663900000</v>
      </c>
      <c r="D148" s="155">
        <v>30283060000</v>
      </c>
      <c r="E148" s="155">
        <v>28012650000</v>
      </c>
      <c r="F148" s="155">
        <v>36879290000</v>
      </c>
      <c r="G148" s="155">
        <v>46861620000</v>
      </c>
      <c r="H148" s="155">
        <v>43269020000</v>
      </c>
      <c r="I148" s="155">
        <v>40944190000</v>
      </c>
    </row>
    <row r="149" spans="1:9" x14ac:dyDescent="0.25">
      <c r="A149" s="149" t="s">
        <v>389</v>
      </c>
      <c r="B149" s="155">
        <v>700670000</v>
      </c>
      <c r="C149" s="155">
        <v>835380000</v>
      </c>
      <c r="D149" s="155">
        <v>1312030000</v>
      </c>
      <c r="E149" s="155">
        <v>1490810000</v>
      </c>
      <c r="F149" s="155">
        <v>1381170000</v>
      </c>
      <c r="G149" s="155">
        <v>1733180000</v>
      </c>
      <c r="H149" s="155">
        <v>1576320000</v>
      </c>
      <c r="I149" s="155">
        <v>1467630000</v>
      </c>
    </row>
    <row r="150" spans="1:9" x14ac:dyDescent="0.25">
      <c r="A150" s="149" t="s">
        <v>390</v>
      </c>
      <c r="B150" s="155" t="s">
        <v>58</v>
      </c>
      <c r="C150" s="155" t="s">
        <v>58</v>
      </c>
      <c r="D150" s="155" t="s">
        <v>58</v>
      </c>
      <c r="E150" s="155" t="s">
        <v>58</v>
      </c>
      <c r="F150" s="155" t="s">
        <v>58</v>
      </c>
      <c r="G150" s="155" t="s">
        <v>58</v>
      </c>
      <c r="H150" s="155" t="s">
        <v>58</v>
      </c>
      <c r="I150" s="155" t="s">
        <v>58</v>
      </c>
    </row>
    <row r="151" spans="1:9" x14ac:dyDescent="0.25">
      <c r="A151" s="149" t="s">
        <v>391</v>
      </c>
      <c r="B151" s="155">
        <v>157760000</v>
      </c>
      <c r="C151" s="155">
        <v>117440000</v>
      </c>
      <c r="D151" s="155">
        <v>119260000</v>
      </c>
      <c r="E151" s="155">
        <v>155160000</v>
      </c>
      <c r="F151" s="155">
        <v>133190000</v>
      </c>
      <c r="G151" s="155">
        <v>128560000</v>
      </c>
      <c r="H151" s="155">
        <v>157640000</v>
      </c>
      <c r="I151" s="155">
        <v>158490000</v>
      </c>
    </row>
    <row r="152" spans="1:9" x14ac:dyDescent="0.25">
      <c r="A152" s="149" t="s">
        <v>392</v>
      </c>
      <c r="B152" s="155">
        <v>2772620000</v>
      </c>
      <c r="C152" s="155">
        <v>2771890000</v>
      </c>
      <c r="D152" s="155">
        <v>3318020000</v>
      </c>
      <c r="E152" s="155">
        <v>3282830000</v>
      </c>
      <c r="F152" s="155">
        <v>2988500000</v>
      </c>
      <c r="G152" s="155">
        <v>3444720000</v>
      </c>
      <c r="H152" s="155">
        <v>3712900000</v>
      </c>
      <c r="I152" s="155">
        <v>3812460000</v>
      </c>
    </row>
    <row r="153" spans="1:9" x14ac:dyDescent="0.25">
      <c r="A153" s="149" t="s">
        <v>393</v>
      </c>
      <c r="B153" s="155">
        <v>52513360000</v>
      </c>
      <c r="C153" s="155">
        <v>61340090000</v>
      </c>
      <c r="D153" s="155">
        <v>69808870000</v>
      </c>
      <c r="E153" s="155">
        <v>62054910000</v>
      </c>
      <c r="F153" s="155">
        <v>77854320000</v>
      </c>
      <c r="G153" s="155">
        <v>75253990000</v>
      </c>
      <c r="H153" s="155">
        <v>74735180000</v>
      </c>
      <c r="I153" s="155">
        <v>73680310000</v>
      </c>
    </row>
    <row r="154" spans="1:9" x14ac:dyDescent="0.25">
      <c r="A154" s="149" t="s">
        <v>394</v>
      </c>
      <c r="B154" s="155" t="s">
        <v>58</v>
      </c>
      <c r="C154" s="155" t="s">
        <v>58</v>
      </c>
      <c r="D154" s="155" t="s">
        <v>58</v>
      </c>
      <c r="E154" s="155" t="s">
        <v>58</v>
      </c>
      <c r="F154" s="155" t="s">
        <v>58</v>
      </c>
      <c r="G154" s="155" t="s">
        <v>58</v>
      </c>
      <c r="H154" s="155" t="s">
        <v>58</v>
      </c>
      <c r="I154" s="155" t="s">
        <v>58</v>
      </c>
    </row>
    <row r="155" spans="1:9" x14ac:dyDescent="0.25">
      <c r="A155" s="149" t="s">
        <v>395</v>
      </c>
      <c r="B155" s="155">
        <v>15770390000</v>
      </c>
      <c r="C155" s="155">
        <v>19359540000</v>
      </c>
      <c r="D155" s="155">
        <v>25157690000</v>
      </c>
      <c r="E155" s="155">
        <v>17333140000</v>
      </c>
      <c r="F155" s="155">
        <v>23765320000</v>
      </c>
      <c r="G155" s="155">
        <v>32241140000</v>
      </c>
      <c r="H155" s="155">
        <v>28294600000</v>
      </c>
      <c r="I155" s="155">
        <v>33413660000.000004</v>
      </c>
    </row>
    <row r="156" spans="1:9" x14ac:dyDescent="0.25">
      <c r="A156" s="149" t="s">
        <v>396</v>
      </c>
      <c r="B156" s="155" t="s">
        <v>58</v>
      </c>
      <c r="C156" s="155" t="s">
        <v>58</v>
      </c>
      <c r="D156" s="155" t="s">
        <v>58</v>
      </c>
      <c r="E156" s="155" t="s">
        <v>58</v>
      </c>
      <c r="F156" s="155" t="s">
        <v>58</v>
      </c>
      <c r="G156" s="155" t="s">
        <v>58</v>
      </c>
      <c r="H156" s="155" t="s">
        <v>58</v>
      </c>
      <c r="I156" s="155" t="s">
        <v>58</v>
      </c>
    </row>
    <row r="157" spans="1:9" x14ac:dyDescent="0.25">
      <c r="A157" s="149" t="s">
        <v>397</v>
      </c>
      <c r="B157" s="155">
        <v>20383770000</v>
      </c>
      <c r="C157" s="155">
        <v>25145880000</v>
      </c>
      <c r="D157" s="155">
        <v>29292010000</v>
      </c>
      <c r="E157" s="155">
        <v>22658090000</v>
      </c>
      <c r="F157" s="155">
        <v>24260140000</v>
      </c>
      <c r="G157" s="155">
        <v>30271540000</v>
      </c>
      <c r="H157" s="155">
        <v>29130370000</v>
      </c>
      <c r="I157" s="155">
        <v>30540770000</v>
      </c>
    </row>
    <row r="158" spans="1:9" x14ac:dyDescent="0.25">
      <c r="A158" s="149" t="s">
        <v>10</v>
      </c>
      <c r="B158" s="155">
        <v>181753540000</v>
      </c>
      <c r="C158" s="155">
        <v>244073580000</v>
      </c>
      <c r="D158" s="155">
        <v>249290630000</v>
      </c>
      <c r="E158" s="155">
        <v>227040750000</v>
      </c>
      <c r="F158" s="155">
        <v>275968550000</v>
      </c>
      <c r="G158" s="155">
        <v>304088930000</v>
      </c>
      <c r="H158" s="155">
        <v>315680080000</v>
      </c>
      <c r="I158" s="155">
        <v>311084290000</v>
      </c>
    </row>
    <row r="159" spans="1:9" x14ac:dyDescent="0.25">
      <c r="A159" s="149" t="s">
        <v>398</v>
      </c>
      <c r="B159" s="155">
        <v>2564200000</v>
      </c>
      <c r="C159" s="155">
        <v>3171660000</v>
      </c>
      <c r="D159" s="155">
        <v>4439160000</v>
      </c>
      <c r="E159" s="155">
        <v>3818830000</v>
      </c>
      <c r="F159" s="155">
        <v>4915960000</v>
      </c>
      <c r="G159" s="155">
        <v>6132370000</v>
      </c>
      <c r="H159" s="155">
        <v>6554930000</v>
      </c>
      <c r="I159" s="155">
        <v>6990440000</v>
      </c>
    </row>
    <row r="160" spans="1:9" x14ac:dyDescent="0.25">
      <c r="A160" s="149" t="s">
        <v>399</v>
      </c>
      <c r="B160" s="155">
        <v>77110000</v>
      </c>
      <c r="C160" s="155">
        <v>92110000</v>
      </c>
      <c r="D160" s="155">
        <v>94810000</v>
      </c>
      <c r="E160" s="155">
        <v>92280000</v>
      </c>
      <c r="F160" s="155">
        <v>128979999.99999999</v>
      </c>
      <c r="G160" s="155">
        <v>130520000.00000001</v>
      </c>
      <c r="H160" s="155">
        <v>126890000</v>
      </c>
      <c r="I160" s="155">
        <v>136970000</v>
      </c>
    </row>
    <row r="161" spans="1:9" x14ac:dyDescent="0.25">
      <c r="A161" s="149" t="s">
        <v>400</v>
      </c>
      <c r="B161" s="155">
        <v>10503920000</v>
      </c>
      <c r="C161" s="155">
        <v>12875730000</v>
      </c>
      <c r="D161" s="155">
        <v>17297540000</v>
      </c>
      <c r="E161" s="155">
        <v>20743990000</v>
      </c>
      <c r="F161" s="155">
        <v>22776740000</v>
      </c>
      <c r="G161" s="155">
        <v>17692540000</v>
      </c>
      <c r="H161" s="155">
        <v>23332080000</v>
      </c>
      <c r="I161" s="155">
        <v>28632320000</v>
      </c>
    </row>
    <row r="162" spans="1:9" x14ac:dyDescent="0.25">
      <c r="A162" s="149" t="s">
        <v>401</v>
      </c>
      <c r="B162" s="155">
        <v>15488940000</v>
      </c>
      <c r="C162" s="155">
        <v>20534200000</v>
      </c>
      <c r="D162" s="155">
        <v>28843070000</v>
      </c>
      <c r="E162" s="155">
        <v>29674380000</v>
      </c>
      <c r="F162" s="155">
        <v>30922710000</v>
      </c>
      <c r="G162" s="155">
        <v>39375160000</v>
      </c>
      <c r="H162" s="155">
        <v>39674180000</v>
      </c>
      <c r="I162" s="155">
        <v>40153010000</v>
      </c>
    </row>
    <row r="163" spans="1:9" x14ac:dyDescent="0.25">
      <c r="A163" s="149" t="s">
        <v>402</v>
      </c>
      <c r="B163" s="155">
        <v>2325790000</v>
      </c>
      <c r="C163" s="155">
        <v>2964800000</v>
      </c>
      <c r="D163" s="155">
        <v>3682190000</v>
      </c>
      <c r="E163" s="155">
        <v>4440600000</v>
      </c>
      <c r="F163" s="155">
        <v>4538290000</v>
      </c>
      <c r="G163" s="155">
        <v>5152980000</v>
      </c>
      <c r="H163" s="155">
        <v>5530940000</v>
      </c>
      <c r="I163" s="155">
        <v>5715260000</v>
      </c>
    </row>
    <row r="164" spans="1:9" x14ac:dyDescent="0.25">
      <c r="A164" s="149" t="s">
        <v>403</v>
      </c>
      <c r="B164" s="155">
        <v>598830000</v>
      </c>
      <c r="C164" s="155">
        <v>494790000</v>
      </c>
      <c r="D164" s="155">
        <v>906020000</v>
      </c>
      <c r="E164" s="155">
        <v>994530000</v>
      </c>
      <c r="F164" s="155">
        <v>1588650000</v>
      </c>
      <c r="G164" s="155">
        <v>1731430000</v>
      </c>
      <c r="H164" s="155">
        <v>1557720000</v>
      </c>
      <c r="I164" s="155">
        <v>1491100000</v>
      </c>
    </row>
    <row r="165" spans="1:9" ht="15.75" thickBot="1" x14ac:dyDescent="0.3">
      <c r="A165" s="154" t="s">
        <v>404</v>
      </c>
      <c r="B165" s="155" t="s">
        <v>58</v>
      </c>
      <c r="C165" s="155" t="s">
        <v>58</v>
      </c>
      <c r="D165" s="155" t="s">
        <v>58</v>
      </c>
      <c r="E165" s="155" t="s">
        <v>58</v>
      </c>
      <c r="F165" s="155">
        <v>735300000</v>
      </c>
      <c r="G165" s="155">
        <v>865320000</v>
      </c>
      <c r="H165" s="155">
        <v>875420000</v>
      </c>
      <c r="I165" s="155">
        <v>409900000</v>
      </c>
    </row>
    <row r="166" spans="1:9" ht="15.75" thickTop="1" x14ac:dyDescent="0.25">
      <c r="A166" s="158" t="s">
        <v>405</v>
      </c>
      <c r="B166" s="155">
        <v>59641750000</v>
      </c>
      <c r="C166" s="155">
        <v>75641400000</v>
      </c>
      <c r="D166" s="155">
        <v>94784140000</v>
      </c>
      <c r="E166" s="155">
        <v>103954200000</v>
      </c>
      <c r="F166" s="155">
        <v>120124170000</v>
      </c>
      <c r="G166" s="155">
        <v>130190780000</v>
      </c>
      <c r="H166" s="155">
        <v>129737780000</v>
      </c>
      <c r="I166" s="155">
        <v>137126549999.99998</v>
      </c>
    </row>
    <row r="167" spans="1:9" x14ac:dyDescent="0.25">
      <c r="A167" s="159" t="s">
        <v>406</v>
      </c>
      <c r="B167" s="155">
        <v>40441600000</v>
      </c>
      <c r="C167" s="155">
        <v>53482450000</v>
      </c>
      <c r="D167" s="155">
        <v>66059970000</v>
      </c>
      <c r="E167" s="155">
        <v>68394800000</v>
      </c>
      <c r="F167" s="155">
        <v>74531750000</v>
      </c>
      <c r="G167" s="155">
        <v>88069890000</v>
      </c>
      <c r="H167" s="155">
        <v>89529680000</v>
      </c>
      <c r="I167" s="155">
        <v>98017480000</v>
      </c>
    </row>
    <row r="168" spans="1:9" x14ac:dyDescent="0.25">
      <c r="A168" s="159" t="s">
        <v>407</v>
      </c>
      <c r="B168" s="155">
        <v>6697350000</v>
      </c>
      <c r="C168" s="155">
        <v>7997750000</v>
      </c>
      <c r="D168" s="155">
        <v>7829480000</v>
      </c>
      <c r="E168" s="155">
        <v>7624090000</v>
      </c>
      <c r="F168" s="155">
        <v>7575000000</v>
      </c>
      <c r="G168" s="155">
        <v>8388040000.000001</v>
      </c>
      <c r="H168" s="155">
        <v>9636150000</v>
      </c>
      <c r="I168" s="155">
        <v>9294540000</v>
      </c>
    </row>
    <row r="169" spans="1:9" x14ac:dyDescent="0.25">
      <c r="A169" s="158" t="s">
        <v>408</v>
      </c>
      <c r="B169" s="155">
        <v>150086200000</v>
      </c>
      <c r="C169" s="155">
        <v>178773580000</v>
      </c>
      <c r="D169" s="155">
        <v>216240270000</v>
      </c>
      <c r="E169" s="155">
        <v>233035850000</v>
      </c>
      <c r="F169" s="155">
        <v>258191730000</v>
      </c>
      <c r="G169" s="155">
        <v>279615200000</v>
      </c>
      <c r="H169" s="155">
        <v>285775700000</v>
      </c>
      <c r="I169" s="155">
        <v>294122580000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E42" sqref="E42"/>
    </sheetView>
  </sheetViews>
  <sheetFormatPr defaultRowHeight="15" x14ac:dyDescent="0.25"/>
  <cols>
    <col min="1" max="1" width="9" customWidth="1"/>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5"/>
  <sheetViews>
    <sheetView topLeftCell="A142" workbookViewId="0">
      <selection activeCell="B10" sqref="B10"/>
    </sheetView>
  </sheetViews>
  <sheetFormatPr defaultRowHeight="15" x14ac:dyDescent="0.25"/>
  <cols>
    <col min="1" max="1" width="38.85546875" customWidth="1"/>
    <col min="2" max="2" width="25.42578125" customWidth="1"/>
    <col min="3" max="18" width="20.140625" bestFit="1" customWidth="1"/>
    <col min="19" max="19" width="21.85546875" bestFit="1" customWidth="1"/>
    <col min="20" max="21" width="20" bestFit="1" customWidth="1"/>
    <col min="22" max="23" width="21" bestFit="1" customWidth="1"/>
    <col min="24" max="26" width="22.7109375" bestFit="1" customWidth="1"/>
  </cols>
  <sheetData>
    <row r="1" spans="1:26" x14ac:dyDescent="0.25">
      <c r="A1" s="203" t="s">
        <v>199</v>
      </c>
      <c r="B1" s="203"/>
      <c r="C1" s="203"/>
    </row>
    <row r="2" spans="1:26" ht="14.45" x14ac:dyDescent="0.5">
      <c r="A2" t="s">
        <v>161</v>
      </c>
      <c r="B2">
        <v>2006</v>
      </c>
      <c r="C2">
        <v>2007</v>
      </c>
      <c r="D2">
        <v>2008</v>
      </c>
      <c r="E2">
        <v>2009</v>
      </c>
      <c r="F2">
        <v>2010</v>
      </c>
      <c r="G2">
        <v>2011</v>
      </c>
      <c r="H2">
        <v>2012</v>
      </c>
      <c r="I2">
        <v>2013</v>
      </c>
      <c r="J2">
        <v>2014</v>
      </c>
      <c r="K2">
        <v>2015</v>
      </c>
      <c r="L2">
        <v>2016</v>
      </c>
      <c r="M2">
        <v>2017</v>
      </c>
      <c r="N2">
        <v>2018</v>
      </c>
      <c r="O2">
        <v>2019</v>
      </c>
      <c r="P2">
        <v>2020</v>
      </c>
      <c r="Q2">
        <v>2021</v>
      </c>
      <c r="R2">
        <v>2022</v>
      </c>
      <c r="S2">
        <v>2023</v>
      </c>
      <c r="T2">
        <v>2024</v>
      </c>
      <c r="U2">
        <v>2025</v>
      </c>
      <c r="V2">
        <v>2026</v>
      </c>
      <c r="W2">
        <v>2027</v>
      </c>
      <c r="X2">
        <v>2028</v>
      </c>
      <c r="Y2">
        <v>2029</v>
      </c>
      <c r="Z2">
        <v>2030</v>
      </c>
    </row>
    <row r="3" spans="1:26" x14ac:dyDescent="0.25">
      <c r="A3" t="str">
        <f>IF(Machine!B3="","",Machine!B3)</f>
        <v>Japan</v>
      </c>
      <c r="B3" s="51">
        <f t="shared" ref="B3:K6" si="0">VLOOKUP($A3,TDS_Spending,B$2-2003,FALSE)</f>
        <v>5668948268.3784428</v>
      </c>
      <c r="C3" s="51">
        <f t="shared" si="0"/>
        <v>4772055408.7668076</v>
      </c>
      <c r="D3" s="51">
        <f t="shared" si="0"/>
        <v>6296202020.9373121</v>
      </c>
      <c r="E3" s="51">
        <f t="shared" si="0"/>
        <v>7414608401.8660421</v>
      </c>
      <c r="F3" s="51">
        <f t="shared" si="0"/>
        <v>9892631496.259201</v>
      </c>
      <c r="G3" s="51">
        <f t="shared" si="0"/>
        <v>9842774518.8716221</v>
      </c>
      <c r="H3" s="51">
        <f t="shared" si="0"/>
        <v>10418003502.04114</v>
      </c>
      <c r="I3" s="51">
        <f t="shared" si="0"/>
        <v>10730543607.102373</v>
      </c>
      <c r="J3" s="51">
        <f t="shared" si="0"/>
        <v>11052459915.315445</v>
      </c>
      <c r="K3" s="51">
        <f t="shared" si="0"/>
        <v>11384033712.774908</v>
      </c>
      <c r="L3" s="51">
        <f t="shared" ref="L3:Z6" si="1">VLOOKUP($A3,TDS_Spending,L$2-2003,FALSE)</f>
        <v>11725554724.158155</v>
      </c>
      <c r="M3" s="51">
        <f t="shared" si="1"/>
        <v>12077321365.8829</v>
      </c>
      <c r="N3" s="51">
        <f t="shared" si="1"/>
        <v>12439641006.859386</v>
      </c>
      <c r="O3" s="51">
        <f t="shared" si="1"/>
        <v>12812830237.065168</v>
      </c>
      <c r="P3" s="51">
        <f t="shared" si="1"/>
        <v>13197215144.177124</v>
      </c>
      <c r="Q3" s="51">
        <f t="shared" si="1"/>
        <v>13593131598.502438</v>
      </c>
      <c r="R3" s="51">
        <f t="shared" si="1"/>
        <v>14000925546.45751</v>
      </c>
      <c r="S3" s="51">
        <f t="shared" si="1"/>
        <v>14420953312.851234</v>
      </c>
      <c r="T3" s="51">
        <f t="shared" si="1"/>
        <v>14853581912.236771</v>
      </c>
      <c r="U3" s="51">
        <f t="shared" si="1"/>
        <v>15299189369.603874</v>
      </c>
      <c r="V3" s="51">
        <f t="shared" si="1"/>
        <v>15758165050.69199</v>
      </c>
      <c r="W3" s="51">
        <f t="shared" si="1"/>
        <v>16230910002.212749</v>
      </c>
      <c r="X3" s="51">
        <f t="shared" si="1"/>
        <v>16717837302.279133</v>
      </c>
      <c r="Y3" s="51">
        <f t="shared" si="1"/>
        <v>17219372421.347507</v>
      </c>
      <c r="Z3" s="51">
        <f t="shared" si="1"/>
        <v>17735953593.987934</v>
      </c>
    </row>
    <row r="4" spans="1:26" x14ac:dyDescent="0.25">
      <c r="A4" t="str">
        <f>IF(Machine!B4="","",Machine!B4)</f>
        <v/>
      </c>
      <c r="B4" s="51" t="e">
        <f t="shared" si="0"/>
        <v>#N/A</v>
      </c>
      <c r="C4" s="51" t="e">
        <f t="shared" si="0"/>
        <v>#N/A</v>
      </c>
      <c r="D4" s="51" t="e">
        <f t="shared" si="0"/>
        <v>#N/A</v>
      </c>
      <c r="E4" s="51" t="e">
        <f t="shared" si="0"/>
        <v>#N/A</v>
      </c>
      <c r="F4" s="51" t="e">
        <f t="shared" si="0"/>
        <v>#N/A</v>
      </c>
      <c r="G4" s="51" t="e">
        <f t="shared" si="0"/>
        <v>#N/A</v>
      </c>
      <c r="H4" s="51" t="e">
        <f t="shared" si="0"/>
        <v>#N/A</v>
      </c>
      <c r="I4" s="51" t="e">
        <f t="shared" si="0"/>
        <v>#N/A</v>
      </c>
      <c r="J4" s="51" t="e">
        <f t="shared" si="0"/>
        <v>#N/A</v>
      </c>
      <c r="K4" s="51" t="e">
        <f t="shared" si="0"/>
        <v>#N/A</v>
      </c>
      <c r="L4" s="51" t="e">
        <f t="shared" si="1"/>
        <v>#N/A</v>
      </c>
      <c r="M4" s="51" t="e">
        <f t="shared" si="1"/>
        <v>#N/A</v>
      </c>
      <c r="N4" s="51" t="e">
        <f t="shared" si="1"/>
        <v>#N/A</v>
      </c>
      <c r="O4" s="51" t="e">
        <f t="shared" si="1"/>
        <v>#N/A</v>
      </c>
      <c r="P4" s="51" t="e">
        <f t="shared" si="1"/>
        <v>#N/A</v>
      </c>
      <c r="Q4" s="51" t="e">
        <f t="shared" si="1"/>
        <v>#N/A</v>
      </c>
      <c r="R4" s="51" t="e">
        <f t="shared" si="1"/>
        <v>#N/A</v>
      </c>
      <c r="S4" s="51" t="e">
        <f t="shared" si="1"/>
        <v>#N/A</v>
      </c>
      <c r="T4" s="51" t="e">
        <f t="shared" si="1"/>
        <v>#N/A</v>
      </c>
      <c r="U4" s="51" t="e">
        <f t="shared" si="1"/>
        <v>#N/A</v>
      </c>
      <c r="V4" s="51" t="e">
        <f t="shared" si="1"/>
        <v>#N/A</v>
      </c>
      <c r="W4" s="51" t="e">
        <f t="shared" si="1"/>
        <v>#N/A</v>
      </c>
      <c r="X4" s="51" t="e">
        <f t="shared" si="1"/>
        <v>#N/A</v>
      </c>
      <c r="Y4" s="51" t="e">
        <f t="shared" si="1"/>
        <v>#N/A</v>
      </c>
      <c r="Z4" s="51" t="e">
        <f t="shared" si="1"/>
        <v>#N/A</v>
      </c>
    </row>
    <row r="5" spans="1:26" x14ac:dyDescent="0.25">
      <c r="A5" t="str">
        <f>IF(Machine!B5="","",Machine!B5)</f>
        <v/>
      </c>
      <c r="B5" s="51" t="e">
        <f t="shared" si="0"/>
        <v>#N/A</v>
      </c>
      <c r="C5" s="51" t="e">
        <f t="shared" si="0"/>
        <v>#N/A</v>
      </c>
      <c r="D5" s="51" t="e">
        <f t="shared" si="0"/>
        <v>#N/A</v>
      </c>
      <c r="E5" s="51" t="e">
        <f t="shared" si="0"/>
        <v>#N/A</v>
      </c>
      <c r="F5" s="51" t="e">
        <f t="shared" si="0"/>
        <v>#N/A</v>
      </c>
      <c r="G5" s="51" t="e">
        <f t="shared" si="0"/>
        <v>#N/A</v>
      </c>
      <c r="H5" s="51" t="e">
        <f t="shared" si="0"/>
        <v>#N/A</v>
      </c>
      <c r="I5" s="51" t="e">
        <f t="shared" si="0"/>
        <v>#N/A</v>
      </c>
      <c r="J5" s="51" t="e">
        <f t="shared" si="0"/>
        <v>#N/A</v>
      </c>
      <c r="K5" s="51" t="e">
        <f t="shared" si="0"/>
        <v>#N/A</v>
      </c>
      <c r="L5" s="51" t="e">
        <f t="shared" si="1"/>
        <v>#N/A</v>
      </c>
      <c r="M5" s="51" t="e">
        <f t="shared" si="1"/>
        <v>#N/A</v>
      </c>
      <c r="N5" s="51" t="e">
        <f t="shared" si="1"/>
        <v>#N/A</v>
      </c>
      <c r="O5" s="51" t="e">
        <f t="shared" si="1"/>
        <v>#N/A</v>
      </c>
      <c r="P5" s="51" t="e">
        <f t="shared" si="1"/>
        <v>#N/A</v>
      </c>
      <c r="Q5" s="51" t="e">
        <f t="shared" si="1"/>
        <v>#N/A</v>
      </c>
      <c r="R5" s="51" t="e">
        <f t="shared" si="1"/>
        <v>#N/A</v>
      </c>
      <c r="S5" s="51" t="e">
        <f t="shared" si="1"/>
        <v>#N/A</v>
      </c>
      <c r="T5" s="51" t="e">
        <f t="shared" si="1"/>
        <v>#N/A</v>
      </c>
      <c r="U5" s="51" t="e">
        <f t="shared" si="1"/>
        <v>#N/A</v>
      </c>
      <c r="V5" s="51" t="e">
        <f t="shared" si="1"/>
        <v>#N/A</v>
      </c>
      <c r="W5" s="51" t="e">
        <f t="shared" si="1"/>
        <v>#N/A</v>
      </c>
      <c r="X5" s="51" t="e">
        <f t="shared" si="1"/>
        <v>#N/A</v>
      </c>
      <c r="Y5" s="51" t="e">
        <f t="shared" si="1"/>
        <v>#N/A</v>
      </c>
      <c r="Z5" s="51" t="e">
        <f t="shared" si="1"/>
        <v>#N/A</v>
      </c>
    </row>
    <row r="6" spans="1:26" x14ac:dyDescent="0.25">
      <c r="A6" t="str">
        <f>IF(Machine!B6="","",Machine!B6)</f>
        <v/>
      </c>
      <c r="B6" s="51" t="e">
        <f t="shared" si="0"/>
        <v>#N/A</v>
      </c>
      <c r="C6" s="51" t="e">
        <f t="shared" si="0"/>
        <v>#N/A</v>
      </c>
      <c r="D6" s="51" t="e">
        <f t="shared" si="0"/>
        <v>#N/A</v>
      </c>
      <c r="E6" s="51" t="e">
        <f t="shared" si="0"/>
        <v>#N/A</v>
      </c>
      <c r="F6" s="51" t="e">
        <f t="shared" si="0"/>
        <v>#N/A</v>
      </c>
      <c r="G6" s="51" t="e">
        <f t="shared" si="0"/>
        <v>#N/A</v>
      </c>
      <c r="H6" s="51" t="e">
        <f t="shared" si="0"/>
        <v>#N/A</v>
      </c>
      <c r="I6" s="51" t="e">
        <f t="shared" si="0"/>
        <v>#N/A</v>
      </c>
      <c r="J6" s="51" t="e">
        <f t="shared" si="0"/>
        <v>#N/A</v>
      </c>
      <c r="K6" s="51" t="e">
        <f t="shared" si="0"/>
        <v>#N/A</v>
      </c>
      <c r="L6" s="51" t="e">
        <f t="shared" si="1"/>
        <v>#N/A</v>
      </c>
      <c r="M6" s="51" t="e">
        <f t="shared" si="1"/>
        <v>#N/A</v>
      </c>
      <c r="N6" s="51" t="e">
        <f t="shared" si="1"/>
        <v>#N/A</v>
      </c>
      <c r="O6" s="51" t="e">
        <f t="shared" si="1"/>
        <v>#N/A</v>
      </c>
      <c r="P6" s="51" t="e">
        <f t="shared" si="1"/>
        <v>#N/A</v>
      </c>
      <c r="Q6" s="51" t="e">
        <f t="shared" si="1"/>
        <v>#N/A</v>
      </c>
      <c r="R6" s="51" t="e">
        <f t="shared" si="1"/>
        <v>#N/A</v>
      </c>
      <c r="S6" s="51" t="e">
        <f t="shared" si="1"/>
        <v>#N/A</v>
      </c>
      <c r="T6" s="51" t="e">
        <f t="shared" si="1"/>
        <v>#N/A</v>
      </c>
      <c r="U6" s="51" t="e">
        <f t="shared" si="1"/>
        <v>#N/A</v>
      </c>
      <c r="V6" s="51" t="e">
        <f t="shared" si="1"/>
        <v>#N/A</v>
      </c>
      <c r="W6" s="51" t="e">
        <f t="shared" si="1"/>
        <v>#N/A</v>
      </c>
      <c r="X6" s="51" t="e">
        <f t="shared" si="1"/>
        <v>#N/A</v>
      </c>
      <c r="Y6" s="51" t="e">
        <f t="shared" si="1"/>
        <v>#N/A</v>
      </c>
      <c r="Z6" s="51" t="e">
        <f t="shared" si="1"/>
        <v>#N/A</v>
      </c>
    </row>
    <row r="7" spans="1:26" ht="14.45" x14ac:dyDescent="0.5">
      <c r="A7" s="203" t="s">
        <v>168</v>
      </c>
      <c r="B7" s="203"/>
      <c r="C7" s="203"/>
    </row>
    <row r="8" spans="1:26" ht="14.45" x14ac:dyDescent="0.5">
      <c r="A8" t="s">
        <v>161</v>
      </c>
      <c r="B8">
        <v>2006</v>
      </c>
      <c r="C8">
        <v>2007</v>
      </c>
      <c r="D8">
        <v>2008</v>
      </c>
      <c r="E8">
        <v>2009</v>
      </c>
      <c r="F8">
        <v>2010</v>
      </c>
      <c r="G8">
        <v>2011</v>
      </c>
      <c r="H8">
        <v>2012</v>
      </c>
      <c r="I8">
        <v>2013</v>
      </c>
      <c r="J8">
        <v>2014</v>
      </c>
      <c r="K8">
        <v>2015</v>
      </c>
      <c r="L8">
        <v>2016</v>
      </c>
      <c r="M8">
        <v>2017</v>
      </c>
      <c r="N8">
        <v>2018</v>
      </c>
      <c r="O8">
        <v>2019</v>
      </c>
      <c r="P8">
        <v>2020</v>
      </c>
      <c r="Q8">
        <v>2021</v>
      </c>
      <c r="R8">
        <v>2022</v>
      </c>
      <c r="S8">
        <v>2023</v>
      </c>
      <c r="T8">
        <v>2024</v>
      </c>
      <c r="U8">
        <v>2025</v>
      </c>
      <c r="V8">
        <v>2026</v>
      </c>
      <c r="W8">
        <v>2027</v>
      </c>
      <c r="X8">
        <v>2028</v>
      </c>
      <c r="Y8">
        <v>2029</v>
      </c>
      <c r="Z8">
        <v>2030</v>
      </c>
    </row>
    <row r="9" spans="1:26" ht="14.45" x14ac:dyDescent="0.5">
      <c r="A9" t="str">
        <f>IF(Machine!B3="","",Machine!B3)</f>
        <v>Japan</v>
      </c>
      <c r="B9" s="54">
        <f>IF(Machine!$D$23="Average",VLOOKUP('Machine Calculations'!$A9,Average_VoP,2,FALSE),VLOOKUP('Machine Calculations'!$A9,VoP,Machine!$D$23-2004,FALSE))*VLOOKUP('Machine Calculations'!$A9,GrowthRates_and_Limits,4,FALSE)</f>
        <v>14584545984.156548</v>
      </c>
      <c r="C9" s="54">
        <f>B9</f>
        <v>14584545984.156548</v>
      </c>
      <c r="D9" s="54">
        <f t="shared" ref="D9:Z12" si="2">C9</f>
        <v>14584545984.156548</v>
      </c>
      <c r="E9" s="54">
        <f t="shared" si="2"/>
        <v>14584545984.156548</v>
      </c>
      <c r="F9" s="54">
        <f t="shared" si="2"/>
        <v>14584545984.156548</v>
      </c>
      <c r="G9" s="54">
        <f t="shared" si="2"/>
        <v>14584545984.156548</v>
      </c>
      <c r="H9" s="54">
        <f t="shared" si="2"/>
        <v>14584545984.156548</v>
      </c>
      <c r="I9" s="54">
        <f t="shared" si="2"/>
        <v>14584545984.156548</v>
      </c>
      <c r="J9" s="54">
        <f t="shared" si="2"/>
        <v>14584545984.156548</v>
      </c>
      <c r="K9" s="54">
        <f t="shared" si="2"/>
        <v>14584545984.156548</v>
      </c>
      <c r="L9" s="54">
        <f t="shared" si="2"/>
        <v>14584545984.156548</v>
      </c>
      <c r="M9" s="54">
        <f t="shared" si="2"/>
        <v>14584545984.156548</v>
      </c>
      <c r="N9" s="54">
        <f t="shared" si="2"/>
        <v>14584545984.156548</v>
      </c>
      <c r="O9" s="54">
        <f t="shared" si="2"/>
        <v>14584545984.156548</v>
      </c>
      <c r="P9" s="54">
        <f t="shared" si="2"/>
        <v>14584545984.156548</v>
      </c>
      <c r="Q9" s="54">
        <f t="shared" si="2"/>
        <v>14584545984.156548</v>
      </c>
      <c r="R9" s="54">
        <f t="shared" si="2"/>
        <v>14584545984.156548</v>
      </c>
      <c r="S9" s="54">
        <f t="shared" si="2"/>
        <v>14584545984.156548</v>
      </c>
      <c r="T9" s="54">
        <f t="shared" si="2"/>
        <v>14584545984.156548</v>
      </c>
      <c r="U9" s="54">
        <f t="shared" si="2"/>
        <v>14584545984.156548</v>
      </c>
      <c r="V9" s="54">
        <f t="shared" si="2"/>
        <v>14584545984.156548</v>
      </c>
      <c r="W9" s="54">
        <f t="shared" si="2"/>
        <v>14584545984.156548</v>
      </c>
      <c r="X9" s="54">
        <f t="shared" si="2"/>
        <v>14584545984.156548</v>
      </c>
      <c r="Y9" s="54">
        <f t="shared" si="2"/>
        <v>14584545984.156548</v>
      </c>
      <c r="Z9" s="54">
        <f t="shared" si="2"/>
        <v>14584545984.156548</v>
      </c>
    </row>
    <row r="10" spans="1:26" ht="14.45" x14ac:dyDescent="0.5">
      <c r="A10" t="str">
        <f>IF(Machine!B4="","",Machine!B4)</f>
        <v/>
      </c>
      <c r="B10" s="54" t="e">
        <f>IF(Machine!$D$23="Average",VLOOKUP('Machine Calculations'!$A10,Average_VoP,2,FALSE),VLOOKUP('Machine Calculations'!$A10,VoP,Machine!$D$23-2004,FALSE))*VLOOKUP('Machine Calculations'!$A10,GrowthRates_and_Limits,4,FALSE)</f>
        <v>#N/A</v>
      </c>
      <c r="C10" s="54" t="e">
        <f t="shared" ref="C10:R12" si="3">B10</f>
        <v>#N/A</v>
      </c>
      <c r="D10" s="54" t="e">
        <f t="shared" si="3"/>
        <v>#N/A</v>
      </c>
      <c r="E10" s="54" t="e">
        <f t="shared" si="3"/>
        <v>#N/A</v>
      </c>
      <c r="F10" s="54" t="e">
        <f t="shared" si="3"/>
        <v>#N/A</v>
      </c>
      <c r="G10" s="54" t="e">
        <f t="shared" si="3"/>
        <v>#N/A</v>
      </c>
      <c r="H10" s="54" t="e">
        <f t="shared" si="3"/>
        <v>#N/A</v>
      </c>
      <c r="I10" s="54" t="e">
        <f t="shared" si="3"/>
        <v>#N/A</v>
      </c>
      <c r="J10" s="54" t="e">
        <f t="shared" si="3"/>
        <v>#N/A</v>
      </c>
      <c r="K10" s="54" t="e">
        <f t="shared" si="3"/>
        <v>#N/A</v>
      </c>
      <c r="L10" s="54" t="e">
        <f t="shared" si="3"/>
        <v>#N/A</v>
      </c>
      <c r="M10" s="54" t="e">
        <f t="shared" si="3"/>
        <v>#N/A</v>
      </c>
      <c r="N10" s="54" t="e">
        <f t="shared" si="3"/>
        <v>#N/A</v>
      </c>
      <c r="O10" s="54" t="e">
        <f t="shared" si="3"/>
        <v>#N/A</v>
      </c>
      <c r="P10" s="54" t="e">
        <f t="shared" si="3"/>
        <v>#N/A</v>
      </c>
      <c r="Q10" s="54" t="e">
        <f t="shared" si="3"/>
        <v>#N/A</v>
      </c>
      <c r="R10" s="54" t="e">
        <f t="shared" si="3"/>
        <v>#N/A</v>
      </c>
      <c r="S10" s="54" t="e">
        <f t="shared" si="2"/>
        <v>#N/A</v>
      </c>
      <c r="T10" s="54" t="e">
        <f t="shared" si="2"/>
        <v>#N/A</v>
      </c>
      <c r="U10" s="54" t="e">
        <f t="shared" si="2"/>
        <v>#N/A</v>
      </c>
      <c r="V10" s="54" t="e">
        <f t="shared" si="2"/>
        <v>#N/A</v>
      </c>
      <c r="W10" s="54" t="e">
        <f t="shared" si="2"/>
        <v>#N/A</v>
      </c>
      <c r="X10" s="54" t="e">
        <f t="shared" si="2"/>
        <v>#N/A</v>
      </c>
      <c r="Y10" s="54" t="e">
        <f t="shared" si="2"/>
        <v>#N/A</v>
      </c>
      <c r="Z10" s="54" t="e">
        <f t="shared" si="2"/>
        <v>#N/A</v>
      </c>
    </row>
    <row r="11" spans="1:26" ht="14.45" x14ac:dyDescent="0.5">
      <c r="A11" t="str">
        <f>IF(Machine!B5="","",Machine!B5)</f>
        <v/>
      </c>
      <c r="B11" s="54" t="e">
        <f>IF(Machine!$D$23="Average",VLOOKUP('Machine Calculations'!$A11,Average_VoP,2,FALSE),VLOOKUP('Machine Calculations'!$A11,VoP,Machine!$D$23-2004,FALSE))*VLOOKUP('Machine Calculations'!$A11,GrowthRates_and_Limits,4,FALSE)</f>
        <v>#N/A</v>
      </c>
      <c r="C11" s="54" t="e">
        <f t="shared" si="3"/>
        <v>#N/A</v>
      </c>
      <c r="D11" s="54" t="e">
        <f t="shared" si="2"/>
        <v>#N/A</v>
      </c>
      <c r="E11" s="54" t="e">
        <f t="shared" si="2"/>
        <v>#N/A</v>
      </c>
      <c r="F11" s="54" t="e">
        <f t="shared" si="2"/>
        <v>#N/A</v>
      </c>
      <c r="G11" s="54" t="e">
        <f t="shared" si="2"/>
        <v>#N/A</v>
      </c>
      <c r="H11" s="54" t="e">
        <f t="shared" si="2"/>
        <v>#N/A</v>
      </c>
      <c r="I11" s="54" t="e">
        <f t="shared" si="2"/>
        <v>#N/A</v>
      </c>
      <c r="J11" s="54" t="e">
        <f t="shared" si="2"/>
        <v>#N/A</v>
      </c>
      <c r="K11" s="54" t="e">
        <f t="shared" si="2"/>
        <v>#N/A</v>
      </c>
      <c r="L11" s="54" t="e">
        <f t="shared" si="2"/>
        <v>#N/A</v>
      </c>
      <c r="M11" s="54" t="e">
        <f t="shared" si="2"/>
        <v>#N/A</v>
      </c>
      <c r="N11" s="54" t="e">
        <f t="shared" si="2"/>
        <v>#N/A</v>
      </c>
      <c r="O11" s="54" t="e">
        <f t="shared" si="2"/>
        <v>#N/A</v>
      </c>
      <c r="P11" s="54" t="e">
        <f t="shared" si="2"/>
        <v>#N/A</v>
      </c>
      <c r="Q11" s="54" t="e">
        <f t="shared" si="2"/>
        <v>#N/A</v>
      </c>
      <c r="R11" s="54" t="e">
        <f t="shared" si="2"/>
        <v>#N/A</v>
      </c>
      <c r="S11" s="54" t="e">
        <f t="shared" si="2"/>
        <v>#N/A</v>
      </c>
      <c r="T11" s="54" t="e">
        <f t="shared" si="2"/>
        <v>#N/A</v>
      </c>
      <c r="U11" s="54" t="e">
        <f t="shared" si="2"/>
        <v>#N/A</v>
      </c>
      <c r="V11" s="54" t="e">
        <f t="shared" si="2"/>
        <v>#N/A</v>
      </c>
      <c r="W11" s="54" t="e">
        <f t="shared" si="2"/>
        <v>#N/A</v>
      </c>
      <c r="X11" s="54" t="e">
        <f t="shared" si="2"/>
        <v>#N/A</v>
      </c>
      <c r="Y11" s="54" t="e">
        <f t="shared" si="2"/>
        <v>#N/A</v>
      </c>
      <c r="Z11" s="54" t="e">
        <f t="shared" si="2"/>
        <v>#N/A</v>
      </c>
    </row>
    <row r="12" spans="1:26" ht="14.45" x14ac:dyDescent="0.5">
      <c r="A12" t="str">
        <f>IF(Machine!B6="","",Machine!B6)</f>
        <v/>
      </c>
      <c r="B12" s="54" t="e">
        <f>IF(Machine!$D$23="Average",VLOOKUP('Machine Calculations'!$A12,Average_VoP,2,FALSE),VLOOKUP('Machine Calculations'!$A12,VoP,Machine!$D$23-2004,FALSE))*VLOOKUP('Machine Calculations'!$A12,GrowthRates_and_Limits,4,FALSE)</f>
        <v>#N/A</v>
      </c>
      <c r="C12" s="54" t="e">
        <f t="shared" si="3"/>
        <v>#N/A</v>
      </c>
      <c r="D12" s="54" t="e">
        <f t="shared" si="2"/>
        <v>#N/A</v>
      </c>
      <c r="E12" s="54" t="e">
        <f t="shared" si="2"/>
        <v>#N/A</v>
      </c>
      <c r="F12" s="54" t="e">
        <f t="shared" si="2"/>
        <v>#N/A</v>
      </c>
      <c r="G12" s="54" t="e">
        <f t="shared" si="2"/>
        <v>#N/A</v>
      </c>
      <c r="H12" s="54" t="e">
        <f t="shared" si="2"/>
        <v>#N/A</v>
      </c>
      <c r="I12" s="54" t="e">
        <f t="shared" si="2"/>
        <v>#N/A</v>
      </c>
      <c r="J12" s="54" t="e">
        <f t="shared" si="2"/>
        <v>#N/A</v>
      </c>
      <c r="K12" s="54" t="e">
        <f t="shared" si="2"/>
        <v>#N/A</v>
      </c>
      <c r="L12" s="54" t="e">
        <f t="shared" si="2"/>
        <v>#N/A</v>
      </c>
      <c r="M12" s="54" t="e">
        <f t="shared" si="2"/>
        <v>#N/A</v>
      </c>
      <c r="N12" s="54" t="e">
        <f t="shared" si="2"/>
        <v>#N/A</v>
      </c>
      <c r="O12" s="54" t="e">
        <f t="shared" si="2"/>
        <v>#N/A</v>
      </c>
      <c r="P12" s="54" t="e">
        <f t="shared" si="2"/>
        <v>#N/A</v>
      </c>
      <c r="Q12" s="54" t="e">
        <f t="shared" si="2"/>
        <v>#N/A</v>
      </c>
      <c r="R12" s="54" t="e">
        <f t="shared" si="2"/>
        <v>#N/A</v>
      </c>
      <c r="S12" s="54" t="e">
        <f t="shared" si="2"/>
        <v>#N/A</v>
      </c>
      <c r="T12" s="54" t="e">
        <f t="shared" si="2"/>
        <v>#N/A</v>
      </c>
      <c r="U12" s="54" t="e">
        <f t="shared" si="2"/>
        <v>#N/A</v>
      </c>
      <c r="V12" s="54" t="e">
        <f t="shared" si="2"/>
        <v>#N/A</v>
      </c>
      <c r="W12" s="54" t="e">
        <f t="shared" si="2"/>
        <v>#N/A</v>
      </c>
      <c r="X12" s="54" t="e">
        <f t="shared" si="2"/>
        <v>#N/A</v>
      </c>
      <c r="Y12" s="54" t="e">
        <f t="shared" si="2"/>
        <v>#N/A</v>
      </c>
      <c r="Z12" s="54" t="e">
        <f t="shared" si="2"/>
        <v>#N/A</v>
      </c>
    </row>
    <row r="13" spans="1:26" ht="14.45" x14ac:dyDescent="0.5">
      <c r="A13" s="203" t="s">
        <v>173</v>
      </c>
      <c r="B13" s="203"/>
      <c r="C13" s="203"/>
    </row>
    <row r="14" spans="1:26" ht="14.45" x14ac:dyDescent="0.5">
      <c r="A14" t="s">
        <v>161</v>
      </c>
      <c r="B14">
        <v>2006</v>
      </c>
      <c r="C14">
        <v>2007</v>
      </c>
      <c r="D14">
        <v>2008</v>
      </c>
      <c r="E14">
        <v>2009</v>
      </c>
      <c r="F14">
        <v>2010</v>
      </c>
      <c r="G14">
        <v>2011</v>
      </c>
      <c r="H14">
        <v>2012</v>
      </c>
      <c r="I14">
        <v>2013</v>
      </c>
      <c r="J14">
        <v>2014</v>
      </c>
      <c r="K14">
        <v>2015</v>
      </c>
      <c r="L14">
        <v>2016</v>
      </c>
      <c r="M14">
        <v>2017</v>
      </c>
      <c r="N14">
        <v>2018</v>
      </c>
      <c r="O14">
        <v>2019</v>
      </c>
      <c r="P14">
        <v>2020</v>
      </c>
      <c r="Q14">
        <v>2021</v>
      </c>
      <c r="R14">
        <v>2022</v>
      </c>
      <c r="S14">
        <v>2023</v>
      </c>
      <c r="T14">
        <v>2024</v>
      </c>
      <c r="U14">
        <v>2025</v>
      </c>
      <c r="V14">
        <v>2026</v>
      </c>
      <c r="W14">
        <v>2027</v>
      </c>
      <c r="X14">
        <v>2028</v>
      </c>
      <c r="Y14">
        <v>2029</v>
      </c>
      <c r="Z14">
        <v>2030</v>
      </c>
    </row>
    <row r="15" spans="1:26" ht="14.45" x14ac:dyDescent="0.5">
      <c r="A15" t="str">
        <f>IF(Machine!B3="","",Machine!B3)</f>
        <v>Japan</v>
      </c>
      <c r="B15" s="51">
        <f t="shared" ref="B15:Z15" si="4">IF($A15="","",VLOOKUP($A15,AMS_Limits,2,FALSE)+$E39*VLOOKUP($A15,VoP,B$14-2004,FALSE))</f>
        <v>46384205111.95343</v>
      </c>
      <c r="C15" s="51">
        <f t="shared" si="4"/>
        <v>46139829111.95343</v>
      </c>
      <c r="D15" s="51">
        <f t="shared" si="4"/>
        <v>46988349111.95343</v>
      </c>
      <c r="E15" s="51">
        <f t="shared" si="4"/>
        <v>47470963111.95343</v>
      </c>
      <c r="F15" s="51">
        <f t="shared" si="4"/>
        <v>48067160111.95343</v>
      </c>
      <c r="G15" s="51">
        <f t="shared" si="4"/>
        <v>48491804111.95343</v>
      </c>
      <c r="H15" s="51">
        <f t="shared" si="4"/>
        <v>48991799111.95343</v>
      </c>
      <c r="I15" s="51">
        <f t="shared" si="4"/>
        <v>47412534111.95343</v>
      </c>
      <c r="J15" s="51">
        <f t="shared" si="4"/>
        <v>47625976401.95343</v>
      </c>
      <c r="K15" s="51">
        <f t="shared" si="4"/>
        <v>47845821960.653427</v>
      </c>
      <c r="L15" s="51">
        <f t="shared" si="4"/>
        <v>48072262886.114433</v>
      </c>
      <c r="M15" s="51">
        <f t="shared" si="4"/>
        <v>48305497039.339264</v>
      </c>
      <c r="N15" s="51">
        <f t="shared" si="4"/>
        <v>48545728217.160835</v>
      </c>
      <c r="O15" s="51">
        <f t="shared" si="4"/>
        <v>48793166330.317062</v>
      </c>
      <c r="P15" s="51">
        <f t="shared" si="4"/>
        <v>49048027586.867966</v>
      </c>
      <c r="Q15" s="51">
        <f t="shared" si="4"/>
        <v>49310534681.115402</v>
      </c>
      <c r="R15" s="51">
        <f t="shared" si="4"/>
        <v>49580916988.190262</v>
      </c>
      <c r="S15" s="51">
        <f t="shared" si="4"/>
        <v>49859410764.477371</v>
      </c>
      <c r="T15" s="51">
        <f t="shared" si="4"/>
        <v>50146259354.053085</v>
      </c>
      <c r="U15" s="51">
        <f t="shared" si="4"/>
        <v>50441713401.316078</v>
      </c>
      <c r="V15" s="51">
        <f t="shared" si="4"/>
        <v>50746031069.996956</v>
      </c>
      <c r="W15" s="51">
        <f t="shared" si="4"/>
        <v>51059478268.738266</v>
      </c>
      <c r="X15" s="51">
        <f t="shared" si="4"/>
        <v>51382328883.441803</v>
      </c>
      <c r="Y15" s="51">
        <f t="shared" si="4"/>
        <v>51714865016.586456</v>
      </c>
      <c r="Z15" s="51">
        <f t="shared" si="4"/>
        <v>52057377233.725449</v>
      </c>
    </row>
    <row r="16" spans="1:26" ht="14.45" x14ac:dyDescent="0.5">
      <c r="A16" t="str">
        <f>IF(Machine!B4="","",Machine!B4)</f>
        <v/>
      </c>
      <c r="B16" s="51" t="str">
        <f t="shared" ref="B16:Z16" si="5">IF($A16="","",VLOOKUP($A16,AMS_Limits,2,FALSE)+$E40*VLOOKUP($A16,VoP,B$14-2004,FALSE))</f>
        <v/>
      </c>
      <c r="C16" s="51" t="str">
        <f t="shared" si="5"/>
        <v/>
      </c>
      <c r="D16" s="51" t="str">
        <f t="shared" si="5"/>
        <v/>
      </c>
      <c r="E16" s="51" t="str">
        <f t="shared" si="5"/>
        <v/>
      </c>
      <c r="F16" s="51" t="str">
        <f t="shared" si="5"/>
        <v/>
      </c>
      <c r="G16" s="51" t="str">
        <f t="shared" si="5"/>
        <v/>
      </c>
      <c r="H16" s="51" t="str">
        <f t="shared" si="5"/>
        <v/>
      </c>
      <c r="I16" s="51" t="str">
        <f t="shared" si="5"/>
        <v/>
      </c>
      <c r="J16" s="51" t="str">
        <f t="shared" si="5"/>
        <v/>
      </c>
      <c r="K16" s="51" t="str">
        <f t="shared" si="5"/>
        <v/>
      </c>
      <c r="L16" s="51" t="str">
        <f t="shared" si="5"/>
        <v/>
      </c>
      <c r="M16" s="51" t="str">
        <f t="shared" si="5"/>
        <v/>
      </c>
      <c r="N16" s="51" t="str">
        <f t="shared" si="5"/>
        <v/>
      </c>
      <c r="O16" s="51" t="str">
        <f t="shared" si="5"/>
        <v/>
      </c>
      <c r="P16" s="51" t="str">
        <f t="shared" si="5"/>
        <v/>
      </c>
      <c r="Q16" s="51" t="str">
        <f t="shared" si="5"/>
        <v/>
      </c>
      <c r="R16" s="51" t="str">
        <f t="shared" si="5"/>
        <v/>
      </c>
      <c r="S16" s="51" t="str">
        <f t="shared" si="5"/>
        <v/>
      </c>
      <c r="T16" s="51" t="str">
        <f t="shared" si="5"/>
        <v/>
      </c>
      <c r="U16" s="51" t="str">
        <f t="shared" si="5"/>
        <v/>
      </c>
      <c r="V16" s="51" t="str">
        <f t="shared" si="5"/>
        <v/>
      </c>
      <c r="W16" s="51" t="str">
        <f t="shared" si="5"/>
        <v/>
      </c>
      <c r="X16" s="51" t="str">
        <f t="shared" si="5"/>
        <v/>
      </c>
      <c r="Y16" s="51" t="str">
        <f t="shared" si="5"/>
        <v/>
      </c>
      <c r="Z16" s="51" t="str">
        <f t="shared" si="5"/>
        <v/>
      </c>
    </row>
    <row r="17" spans="1:26" ht="14.45" x14ac:dyDescent="0.5">
      <c r="A17" t="str">
        <f>IF(Machine!B5="","",Machine!B5)</f>
        <v/>
      </c>
      <c r="B17" s="51" t="str">
        <f t="shared" ref="B17:Z17" si="6">IF($A17="","",VLOOKUP($A17,AMS_Limits,2,FALSE)+$E41*VLOOKUP($A17,VoP,B$14-2004,FALSE))</f>
        <v/>
      </c>
      <c r="C17" s="51" t="str">
        <f t="shared" si="6"/>
        <v/>
      </c>
      <c r="D17" s="51" t="str">
        <f t="shared" si="6"/>
        <v/>
      </c>
      <c r="E17" s="51" t="str">
        <f t="shared" si="6"/>
        <v/>
      </c>
      <c r="F17" s="51" t="str">
        <f t="shared" si="6"/>
        <v/>
      </c>
      <c r="G17" s="51" t="str">
        <f t="shared" si="6"/>
        <v/>
      </c>
      <c r="H17" s="51" t="str">
        <f t="shared" si="6"/>
        <v/>
      </c>
      <c r="I17" s="51" t="str">
        <f t="shared" si="6"/>
        <v/>
      </c>
      <c r="J17" s="51" t="str">
        <f t="shared" si="6"/>
        <v/>
      </c>
      <c r="K17" s="51" t="str">
        <f t="shared" si="6"/>
        <v/>
      </c>
      <c r="L17" s="51" t="str">
        <f t="shared" si="6"/>
        <v/>
      </c>
      <c r="M17" s="51" t="str">
        <f t="shared" si="6"/>
        <v/>
      </c>
      <c r="N17" s="51" t="str">
        <f t="shared" si="6"/>
        <v/>
      </c>
      <c r="O17" s="51" t="str">
        <f t="shared" si="6"/>
        <v/>
      </c>
      <c r="P17" s="51" t="str">
        <f t="shared" si="6"/>
        <v/>
      </c>
      <c r="Q17" s="51" t="str">
        <f t="shared" si="6"/>
        <v/>
      </c>
      <c r="R17" s="51" t="str">
        <f t="shared" si="6"/>
        <v/>
      </c>
      <c r="S17" s="51" t="str">
        <f t="shared" si="6"/>
        <v/>
      </c>
      <c r="T17" s="51" t="str">
        <f t="shared" si="6"/>
        <v/>
      </c>
      <c r="U17" s="51" t="str">
        <f t="shared" si="6"/>
        <v/>
      </c>
      <c r="V17" s="51" t="str">
        <f t="shared" si="6"/>
        <v/>
      </c>
      <c r="W17" s="51" t="str">
        <f t="shared" si="6"/>
        <v/>
      </c>
      <c r="X17" s="51" t="str">
        <f t="shared" si="6"/>
        <v/>
      </c>
      <c r="Y17" s="51" t="str">
        <f t="shared" si="6"/>
        <v/>
      </c>
      <c r="Z17" s="51" t="str">
        <f t="shared" si="6"/>
        <v/>
      </c>
    </row>
    <row r="18" spans="1:26" ht="14.45" x14ac:dyDescent="0.5">
      <c r="A18" t="str">
        <f>IF(Machine!B6="","",Machine!B6)</f>
        <v/>
      </c>
      <c r="B18" s="51" t="str">
        <f t="shared" ref="B18:Z18" si="7">IF($A18="","",VLOOKUP($A18,AMS_Limits,2,FALSE)+$E42*VLOOKUP($A18,VoP,B$14-2004,FALSE))</f>
        <v/>
      </c>
      <c r="C18" s="51" t="str">
        <f t="shared" si="7"/>
        <v/>
      </c>
      <c r="D18" s="51" t="str">
        <f t="shared" si="7"/>
        <v/>
      </c>
      <c r="E18" s="51" t="str">
        <f t="shared" si="7"/>
        <v/>
      </c>
      <c r="F18" s="51" t="str">
        <f t="shared" si="7"/>
        <v/>
      </c>
      <c r="G18" s="51" t="str">
        <f t="shared" si="7"/>
        <v/>
      </c>
      <c r="H18" s="51" t="str">
        <f t="shared" si="7"/>
        <v/>
      </c>
      <c r="I18" s="51" t="str">
        <f t="shared" si="7"/>
        <v/>
      </c>
      <c r="J18" s="51" t="str">
        <f t="shared" si="7"/>
        <v/>
      </c>
      <c r="K18" s="51" t="str">
        <f t="shared" si="7"/>
        <v/>
      </c>
      <c r="L18" s="51" t="str">
        <f t="shared" si="7"/>
        <v/>
      </c>
      <c r="M18" s="51" t="str">
        <f t="shared" si="7"/>
        <v/>
      </c>
      <c r="N18" s="51" t="str">
        <f t="shared" si="7"/>
        <v/>
      </c>
      <c r="O18" s="51" t="str">
        <f t="shared" si="7"/>
        <v/>
      </c>
      <c r="P18" s="51" t="str">
        <f t="shared" si="7"/>
        <v/>
      </c>
      <c r="Q18" s="51" t="str">
        <f t="shared" si="7"/>
        <v/>
      </c>
      <c r="R18" s="51" t="str">
        <f t="shared" si="7"/>
        <v/>
      </c>
      <c r="S18" s="51" t="str">
        <f t="shared" si="7"/>
        <v/>
      </c>
      <c r="T18" s="51" t="str">
        <f t="shared" si="7"/>
        <v/>
      </c>
      <c r="U18" s="51" t="str">
        <f t="shared" si="7"/>
        <v/>
      </c>
      <c r="V18" s="51" t="str">
        <f t="shared" si="7"/>
        <v/>
      </c>
      <c r="W18" s="51" t="str">
        <f t="shared" si="7"/>
        <v/>
      </c>
      <c r="X18" s="51" t="str">
        <f t="shared" si="7"/>
        <v/>
      </c>
      <c r="Y18" s="51" t="str">
        <f t="shared" si="7"/>
        <v/>
      </c>
      <c r="Z18" s="51" t="str">
        <f t="shared" si="7"/>
        <v/>
      </c>
    </row>
    <row r="19" spans="1:26" x14ac:dyDescent="0.25">
      <c r="A19" s="203" t="s">
        <v>200</v>
      </c>
      <c r="B19" s="203"/>
      <c r="C19" s="203"/>
    </row>
    <row r="20" spans="1:26" x14ac:dyDescent="0.25">
      <c r="A20" t="s">
        <v>161</v>
      </c>
      <c r="B20">
        <v>2006</v>
      </c>
      <c r="C20">
        <v>2007</v>
      </c>
      <c r="D20">
        <v>2008</v>
      </c>
      <c r="E20">
        <v>2009</v>
      </c>
      <c r="F20">
        <v>2010</v>
      </c>
      <c r="G20">
        <v>2011</v>
      </c>
      <c r="H20">
        <v>2012</v>
      </c>
      <c r="I20">
        <v>2013</v>
      </c>
      <c r="J20">
        <v>2014</v>
      </c>
      <c r="K20">
        <v>2015</v>
      </c>
      <c r="L20">
        <v>2016</v>
      </c>
      <c r="M20">
        <v>2017</v>
      </c>
      <c r="N20">
        <v>2018</v>
      </c>
      <c r="O20">
        <v>2019</v>
      </c>
      <c r="P20">
        <v>2020</v>
      </c>
      <c r="Q20">
        <v>2021</v>
      </c>
      <c r="R20">
        <v>2022</v>
      </c>
      <c r="S20">
        <v>2023</v>
      </c>
      <c r="T20">
        <v>2024</v>
      </c>
      <c r="U20">
        <v>2025</v>
      </c>
      <c r="V20">
        <v>2026</v>
      </c>
      <c r="W20">
        <v>2027</v>
      </c>
      <c r="X20">
        <v>2028</v>
      </c>
      <c r="Y20">
        <v>2029</v>
      </c>
      <c r="Z20">
        <v>2030</v>
      </c>
    </row>
    <row r="21" spans="1:26" x14ac:dyDescent="0.25">
      <c r="A21" t="str">
        <f>A9</f>
        <v>Japan</v>
      </c>
      <c r="B21" s="55">
        <f>VLOOKUP($A21,AMS_DM_Spending,'Machine Calculations'!B$20-2003,FALSE)</f>
        <v>5083599507.8195124</v>
      </c>
      <c r="C21" s="55">
        <f>VLOOKUP($A21,AMS_DM_Spending,'Machine Calculations'!C$20-2003,FALSE)</f>
        <v>4186706648.5890331</v>
      </c>
      <c r="D21" s="55">
        <f>VLOOKUP($A21,AMS_DM_Spending,'Machine Calculations'!D$20-2003,FALSE)</f>
        <v>6007172628.2564144</v>
      </c>
      <c r="E21" s="55">
        <f>VLOOKUP($A21,AMS_DM_Spending,'Machine Calculations'!E$20-2003,FALSE)</f>
        <v>7201842226.8806648</v>
      </c>
      <c r="F21" s="55">
        <f>VLOOKUP($A21,AMS_DM_Spending,'Machine Calculations'!F$20-2003,FALSE)</f>
        <v>6780707633.8730984</v>
      </c>
      <c r="G21" s="55">
        <f>VLOOKUP($A21,AMS_DM_Spending,'Machine Calculations'!G$20-2003,FALSE)</f>
        <v>8186283867.8635674</v>
      </c>
      <c r="H21" s="55">
        <f>VLOOKUP($A21,AMS_DM_Spending,'Machine Calculations'!H$20-2003,FALSE)</f>
        <v>8774838721.9846039</v>
      </c>
      <c r="I21" s="55">
        <f>VLOOKUP($A21,AMS_DM_Spending,'Machine Calculations'!I$20-2003,FALSE)</f>
        <v>9038083883.6441422</v>
      </c>
      <c r="J21" s="55">
        <f>VLOOKUP($A21,AMS_DM_Spending,'Machine Calculations'!J$20-2003,FALSE)</f>
        <v>9309226400.1534672</v>
      </c>
      <c r="K21" s="55">
        <f>VLOOKUP($A21,AMS_DM_Spending,'Machine Calculations'!K$20-2003,FALSE)</f>
        <v>9588503192.1580715</v>
      </c>
      <c r="L21" s="55">
        <f>VLOOKUP($A21,AMS_DM_Spending,'Machine Calculations'!L$20-2003,FALSE)</f>
        <v>9876158287.9228134</v>
      </c>
      <c r="M21" s="55">
        <f>VLOOKUP($A21,AMS_DM_Spending,'Machine Calculations'!M$20-2003,FALSE)</f>
        <v>10172443036.560497</v>
      </c>
      <c r="N21" s="55">
        <f>VLOOKUP($A21,AMS_DM_Spending,'Machine Calculations'!N$20-2003,FALSE)</f>
        <v>10477616327.657312</v>
      </c>
      <c r="O21" s="55">
        <f>VLOOKUP($A21,AMS_DM_Spending,'Machine Calculations'!O$20-2003,FALSE)</f>
        <v>10791944817.487032</v>
      </c>
      <c r="P21" s="55">
        <f>VLOOKUP($A21,AMS_DM_Spending,'Machine Calculations'!P$20-2003,FALSE)</f>
        <v>11115703162.011642</v>
      </c>
      <c r="Q21" s="55">
        <f>VLOOKUP($A21,AMS_DM_Spending,'Machine Calculations'!Q$20-2003,FALSE)</f>
        <v>11449174256.871992</v>
      </c>
      <c r="R21" s="55">
        <f>VLOOKUP($A21,AMS_DM_Spending,'Machine Calculations'!R$20-2003,FALSE)</f>
        <v>11792649484.578152</v>
      </c>
      <c r="S21" s="55">
        <f>VLOOKUP($A21,AMS_DM_Spending,'Machine Calculations'!S$20-2003,FALSE)</f>
        <v>12146428969.115496</v>
      </c>
      <c r="T21" s="55">
        <f>VLOOKUP($A21,AMS_DM_Spending,'Machine Calculations'!T$20-2003,FALSE)</f>
        <v>12510821838.188961</v>
      </c>
      <c r="U21" s="55">
        <f>VLOOKUP($A21,AMS_DM_Spending,'Machine Calculations'!U$20-2003,FALSE)</f>
        <v>12886146493.334629</v>
      </c>
      <c r="V21" s="55">
        <f>VLOOKUP($A21,AMS_DM_Spending,'Machine Calculations'!V$20-2003,FALSE)</f>
        <v>13272730888.134668</v>
      </c>
      <c r="W21" s="55">
        <f>VLOOKUP($A21,AMS_DM_Spending,'Machine Calculations'!W$20-2003,FALSE)</f>
        <v>13670912814.778708</v>
      </c>
      <c r="X21" s="55">
        <f>VLOOKUP($A21,AMS_DM_Spending,'Machine Calculations'!X$20-2003,FALSE)</f>
        <v>14081040199.222069</v>
      </c>
      <c r="Y21" s="55">
        <f>VLOOKUP($A21,AMS_DM_Spending,'Machine Calculations'!Y$20-2003,FALSE)</f>
        <v>14503471405.19873</v>
      </c>
      <c r="Z21" s="55">
        <f>VLOOKUP($A21,AMS_DM_Spending,'Machine Calculations'!Z$20-2003,FALSE)</f>
        <v>14938575547.354692</v>
      </c>
    </row>
    <row r="22" spans="1:26" x14ac:dyDescent="0.25">
      <c r="A22" t="str">
        <f t="shared" ref="A22:A24" si="8">A10</f>
        <v/>
      </c>
      <c r="B22" s="55" t="e">
        <f>VLOOKUP($A22,AMS_DM_Spending,'Machine Calculations'!B$20-2003,FALSE)</f>
        <v>#N/A</v>
      </c>
      <c r="C22" s="55" t="e">
        <f>VLOOKUP($A22,AMS_DM_Spending,'Machine Calculations'!C$20-2003,FALSE)</f>
        <v>#N/A</v>
      </c>
      <c r="D22" s="55" t="e">
        <f>VLOOKUP($A22,AMS_DM_Spending,'Machine Calculations'!D$20-2003,FALSE)</f>
        <v>#N/A</v>
      </c>
      <c r="E22" s="55" t="e">
        <f>VLOOKUP($A22,AMS_DM_Spending,'Machine Calculations'!E$20-2003,FALSE)</f>
        <v>#N/A</v>
      </c>
      <c r="F22" s="55" t="e">
        <f>VLOOKUP($A22,AMS_DM_Spending,'Machine Calculations'!F$20-2003,FALSE)</f>
        <v>#N/A</v>
      </c>
      <c r="G22" s="55" t="e">
        <f>VLOOKUP($A22,AMS_DM_Spending,'Machine Calculations'!G$20-2003,FALSE)</f>
        <v>#N/A</v>
      </c>
      <c r="H22" s="55" t="e">
        <f>VLOOKUP($A22,AMS_DM_Spending,'Machine Calculations'!H$20-2003,FALSE)</f>
        <v>#N/A</v>
      </c>
      <c r="I22" s="55" t="e">
        <f>VLOOKUP($A22,AMS_DM_Spending,'Machine Calculations'!I$20-2003,FALSE)</f>
        <v>#N/A</v>
      </c>
      <c r="J22" s="55" t="e">
        <f>VLOOKUP($A22,AMS_DM_Spending,'Machine Calculations'!J$20-2003,FALSE)</f>
        <v>#N/A</v>
      </c>
      <c r="K22" s="55" t="e">
        <f>VLOOKUP($A22,AMS_DM_Spending,'Machine Calculations'!K$20-2003,FALSE)</f>
        <v>#N/A</v>
      </c>
      <c r="L22" s="55" t="e">
        <f>VLOOKUP($A22,AMS_DM_Spending,'Machine Calculations'!L$20-2003,FALSE)</f>
        <v>#N/A</v>
      </c>
      <c r="M22" s="55" t="e">
        <f>VLOOKUP($A22,AMS_DM_Spending,'Machine Calculations'!M$20-2003,FALSE)</f>
        <v>#N/A</v>
      </c>
      <c r="N22" s="55" t="e">
        <f>VLOOKUP($A22,AMS_DM_Spending,'Machine Calculations'!N$20-2003,FALSE)</f>
        <v>#N/A</v>
      </c>
      <c r="O22" s="55" t="e">
        <f>VLOOKUP($A22,AMS_DM_Spending,'Machine Calculations'!O$20-2003,FALSE)</f>
        <v>#N/A</v>
      </c>
      <c r="P22" s="55" t="e">
        <f>VLOOKUP($A22,AMS_DM_Spending,'Machine Calculations'!P$20-2003,FALSE)</f>
        <v>#N/A</v>
      </c>
      <c r="Q22" s="55" t="e">
        <f>VLOOKUP($A22,AMS_DM_Spending,'Machine Calculations'!Q$20-2003,FALSE)</f>
        <v>#N/A</v>
      </c>
      <c r="R22" s="55" t="e">
        <f>VLOOKUP($A22,AMS_DM_Spending,'Machine Calculations'!R$20-2003,FALSE)</f>
        <v>#N/A</v>
      </c>
      <c r="S22" s="55" t="e">
        <f>VLOOKUP($A22,AMS_DM_Spending,'Machine Calculations'!S$20-2003,FALSE)</f>
        <v>#N/A</v>
      </c>
      <c r="T22" s="55" t="e">
        <f>VLOOKUP($A22,AMS_DM_Spending,'Machine Calculations'!T$20-2003,FALSE)</f>
        <v>#N/A</v>
      </c>
      <c r="U22" s="55" t="e">
        <f>VLOOKUP($A22,AMS_DM_Spending,'Machine Calculations'!U$20-2003,FALSE)</f>
        <v>#N/A</v>
      </c>
      <c r="V22" s="55" t="e">
        <f>VLOOKUP($A22,AMS_DM_Spending,'Machine Calculations'!V$20-2003,FALSE)</f>
        <v>#N/A</v>
      </c>
      <c r="W22" s="55" t="e">
        <f>VLOOKUP($A22,AMS_DM_Spending,'Machine Calculations'!W$20-2003,FALSE)</f>
        <v>#N/A</v>
      </c>
      <c r="X22" s="55" t="e">
        <f>VLOOKUP($A22,AMS_DM_Spending,'Machine Calculations'!X$20-2003,FALSE)</f>
        <v>#N/A</v>
      </c>
      <c r="Y22" s="55" t="e">
        <f>VLOOKUP($A22,AMS_DM_Spending,'Machine Calculations'!Y$20-2003,FALSE)</f>
        <v>#N/A</v>
      </c>
      <c r="Z22" s="55" t="e">
        <f>VLOOKUP($A22,AMS_DM_Spending,'Machine Calculations'!Z$20-2003,FALSE)</f>
        <v>#N/A</v>
      </c>
    </row>
    <row r="23" spans="1:26" x14ac:dyDescent="0.25">
      <c r="A23" t="str">
        <f t="shared" si="8"/>
        <v/>
      </c>
      <c r="B23" s="55" t="e">
        <f>VLOOKUP($A23,AMS_DM_Spending,'Machine Calculations'!B$20-2003,FALSE)</f>
        <v>#N/A</v>
      </c>
      <c r="C23" s="55" t="e">
        <f>VLOOKUP($A23,AMS_DM_Spending,'Machine Calculations'!C$20-2003,FALSE)</f>
        <v>#N/A</v>
      </c>
      <c r="D23" s="55" t="e">
        <f>VLOOKUP($A23,AMS_DM_Spending,'Machine Calculations'!D$20-2003,FALSE)</f>
        <v>#N/A</v>
      </c>
      <c r="E23" s="55" t="e">
        <f>VLOOKUP($A23,AMS_DM_Spending,'Machine Calculations'!E$20-2003,FALSE)</f>
        <v>#N/A</v>
      </c>
      <c r="F23" s="55" t="e">
        <f>VLOOKUP($A23,AMS_DM_Spending,'Machine Calculations'!F$20-2003,FALSE)</f>
        <v>#N/A</v>
      </c>
      <c r="G23" s="55" t="e">
        <f>VLOOKUP($A23,AMS_DM_Spending,'Machine Calculations'!G$20-2003,FALSE)</f>
        <v>#N/A</v>
      </c>
      <c r="H23" s="55" t="e">
        <f>VLOOKUP($A23,AMS_DM_Spending,'Machine Calculations'!H$20-2003,FALSE)</f>
        <v>#N/A</v>
      </c>
      <c r="I23" s="55" t="e">
        <f>VLOOKUP($A23,AMS_DM_Spending,'Machine Calculations'!I$20-2003,FALSE)</f>
        <v>#N/A</v>
      </c>
      <c r="J23" s="55" t="e">
        <f>VLOOKUP($A23,AMS_DM_Spending,'Machine Calculations'!J$20-2003,FALSE)</f>
        <v>#N/A</v>
      </c>
      <c r="K23" s="55" t="e">
        <f>VLOOKUP($A23,AMS_DM_Spending,'Machine Calculations'!K$20-2003,FALSE)</f>
        <v>#N/A</v>
      </c>
      <c r="L23" s="55" t="e">
        <f>VLOOKUP($A23,AMS_DM_Spending,'Machine Calculations'!L$20-2003,FALSE)</f>
        <v>#N/A</v>
      </c>
      <c r="M23" s="55" t="e">
        <f>VLOOKUP($A23,AMS_DM_Spending,'Machine Calculations'!M$20-2003,FALSE)</f>
        <v>#N/A</v>
      </c>
      <c r="N23" s="55" t="e">
        <f>VLOOKUP($A23,AMS_DM_Spending,'Machine Calculations'!N$20-2003,FALSE)</f>
        <v>#N/A</v>
      </c>
      <c r="O23" s="55" t="e">
        <f>VLOOKUP($A23,AMS_DM_Spending,'Machine Calculations'!O$20-2003,FALSE)</f>
        <v>#N/A</v>
      </c>
      <c r="P23" s="55" t="e">
        <f>VLOOKUP($A23,AMS_DM_Spending,'Machine Calculations'!P$20-2003,FALSE)</f>
        <v>#N/A</v>
      </c>
      <c r="Q23" s="55" t="e">
        <f>VLOOKUP($A23,AMS_DM_Spending,'Machine Calculations'!Q$20-2003,FALSE)</f>
        <v>#N/A</v>
      </c>
      <c r="R23" s="55" t="e">
        <f>VLOOKUP($A23,AMS_DM_Spending,'Machine Calculations'!R$20-2003,FALSE)</f>
        <v>#N/A</v>
      </c>
      <c r="S23" s="55" t="e">
        <f>VLOOKUP($A23,AMS_DM_Spending,'Machine Calculations'!S$20-2003,FALSE)</f>
        <v>#N/A</v>
      </c>
      <c r="T23" s="55" t="e">
        <f>VLOOKUP($A23,AMS_DM_Spending,'Machine Calculations'!T$20-2003,FALSE)</f>
        <v>#N/A</v>
      </c>
      <c r="U23" s="55" t="e">
        <f>VLOOKUP($A23,AMS_DM_Spending,'Machine Calculations'!U$20-2003,FALSE)</f>
        <v>#N/A</v>
      </c>
      <c r="V23" s="55" t="e">
        <f>VLOOKUP($A23,AMS_DM_Spending,'Machine Calculations'!V$20-2003,FALSE)</f>
        <v>#N/A</v>
      </c>
      <c r="W23" s="55" t="e">
        <f>VLOOKUP($A23,AMS_DM_Spending,'Machine Calculations'!W$20-2003,FALSE)</f>
        <v>#N/A</v>
      </c>
      <c r="X23" s="55" t="e">
        <f>VLOOKUP($A23,AMS_DM_Spending,'Machine Calculations'!X$20-2003,FALSE)</f>
        <v>#N/A</v>
      </c>
      <c r="Y23" s="55" t="e">
        <f>VLOOKUP($A23,AMS_DM_Spending,'Machine Calculations'!Y$20-2003,FALSE)</f>
        <v>#N/A</v>
      </c>
      <c r="Z23" s="55" t="e">
        <f>VLOOKUP($A23,AMS_DM_Spending,'Machine Calculations'!Z$20-2003,FALSE)</f>
        <v>#N/A</v>
      </c>
    </row>
    <row r="24" spans="1:26" x14ac:dyDescent="0.25">
      <c r="A24" t="str">
        <f t="shared" si="8"/>
        <v/>
      </c>
      <c r="B24" s="55" t="e">
        <f>VLOOKUP($A24,AMS_DM_Spending,'Machine Calculations'!B$20-2003,FALSE)</f>
        <v>#N/A</v>
      </c>
      <c r="C24" s="55" t="e">
        <f>VLOOKUP($A24,AMS_DM_Spending,'Machine Calculations'!C$20-2003,FALSE)</f>
        <v>#N/A</v>
      </c>
      <c r="D24" s="55" t="e">
        <f>VLOOKUP($A24,AMS_DM_Spending,'Machine Calculations'!D$20-2003,FALSE)</f>
        <v>#N/A</v>
      </c>
      <c r="E24" s="55" t="e">
        <f>VLOOKUP($A24,AMS_DM_Spending,'Machine Calculations'!E$20-2003,FALSE)</f>
        <v>#N/A</v>
      </c>
      <c r="F24" s="55" t="e">
        <f>VLOOKUP($A24,AMS_DM_Spending,'Machine Calculations'!F$20-2003,FALSE)</f>
        <v>#N/A</v>
      </c>
      <c r="G24" s="55" t="e">
        <f>VLOOKUP($A24,AMS_DM_Spending,'Machine Calculations'!G$20-2003,FALSE)</f>
        <v>#N/A</v>
      </c>
      <c r="H24" s="55" t="e">
        <f>VLOOKUP($A24,AMS_DM_Spending,'Machine Calculations'!H$20-2003,FALSE)</f>
        <v>#N/A</v>
      </c>
      <c r="I24" s="55" t="e">
        <f>VLOOKUP($A24,AMS_DM_Spending,'Machine Calculations'!I$20-2003,FALSE)</f>
        <v>#N/A</v>
      </c>
      <c r="J24" s="55" t="e">
        <f>VLOOKUP($A24,AMS_DM_Spending,'Machine Calculations'!J$20-2003,FALSE)</f>
        <v>#N/A</v>
      </c>
      <c r="K24" s="55" t="e">
        <f>VLOOKUP($A24,AMS_DM_Spending,'Machine Calculations'!K$20-2003,FALSE)</f>
        <v>#N/A</v>
      </c>
      <c r="L24" s="55" t="e">
        <f>VLOOKUP($A24,AMS_DM_Spending,'Machine Calculations'!L$20-2003,FALSE)</f>
        <v>#N/A</v>
      </c>
      <c r="M24" s="55" t="e">
        <f>VLOOKUP($A24,AMS_DM_Spending,'Machine Calculations'!M$20-2003,FALSE)</f>
        <v>#N/A</v>
      </c>
      <c r="N24" s="55" t="e">
        <f>VLOOKUP($A24,AMS_DM_Spending,'Machine Calculations'!N$20-2003,FALSE)</f>
        <v>#N/A</v>
      </c>
      <c r="O24" s="55" t="e">
        <f>VLOOKUP($A24,AMS_DM_Spending,'Machine Calculations'!O$20-2003,FALSE)</f>
        <v>#N/A</v>
      </c>
      <c r="P24" s="55" t="e">
        <f>VLOOKUP($A24,AMS_DM_Spending,'Machine Calculations'!P$20-2003,FALSE)</f>
        <v>#N/A</v>
      </c>
      <c r="Q24" s="55" t="e">
        <f>VLOOKUP($A24,AMS_DM_Spending,'Machine Calculations'!Q$20-2003,FALSE)</f>
        <v>#N/A</v>
      </c>
      <c r="R24" s="55" t="e">
        <f>VLOOKUP($A24,AMS_DM_Spending,'Machine Calculations'!R$20-2003,FALSE)</f>
        <v>#N/A</v>
      </c>
      <c r="S24" s="55" t="e">
        <f>VLOOKUP($A24,AMS_DM_Spending,'Machine Calculations'!S$20-2003,FALSE)</f>
        <v>#N/A</v>
      </c>
      <c r="T24" s="55" t="e">
        <f>VLOOKUP($A24,AMS_DM_Spending,'Machine Calculations'!T$20-2003,FALSE)</f>
        <v>#N/A</v>
      </c>
      <c r="U24" s="55" t="e">
        <f>VLOOKUP($A24,AMS_DM_Spending,'Machine Calculations'!U$20-2003,FALSE)</f>
        <v>#N/A</v>
      </c>
      <c r="V24" s="55" t="e">
        <f>VLOOKUP($A24,AMS_DM_Spending,'Machine Calculations'!V$20-2003,FALSE)</f>
        <v>#N/A</v>
      </c>
      <c r="W24" s="55" t="e">
        <f>VLOOKUP($A24,AMS_DM_Spending,'Machine Calculations'!W$20-2003,FALSE)</f>
        <v>#N/A</v>
      </c>
      <c r="X24" s="55" t="e">
        <f>VLOOKUP($A24,AMS_DM_Spending,'Machine Calculations'!X$20-2003,FALSE)</f>
        <v>#N/A</v>
      </c>
      <c r="Y24" s="55" t="e">
        <f>VLOOKUP($A24,AMS_DM_Spending,'Machine Calculations'!Y$20-2003,FALSE)</f>
        <v>#N/A</v>
      </c>
      <c r="Z24" s="55" t="e">
        <f>VLOOKUP($A24,AMS_DM_Spending,'Machine Calculations'!Z$20-2003,FALSE)</f>
        <v>#N/A</v>
      </c>
    </row>
    <row r="25" spans="1:26" x14ac:dyDescent="0.25">
      <c r="A25" s="203" t="s">
        <v>174</v>
      </c>
      <c r="B25" s="203"/>
      <c r="C25" s="203"/>
    </row>
    <row r="26" spans="1:26" x14ac:dyDescent="0.25">
      <c r="A26" t="s">
        <v>161</v>
      </c>
      <c r="B26">
        <v>2006</v>
      </c>
      <c r="C26">
        <v>2007</v>
      </c>
      <c r="D26">
        <v>2008</v>
      </c>
      <c r="E26">
        <v>2009</v>
      </c>
      <c r="F26">
        <v>2010</v>
      </c>
      <c r="G26">
        <v>2011</v>
      </c>
      <c r="H26">
        <v>2012</v>
      </c>
      <c r="I26">
        <v>2013</v>
      </c>
      <c r="J26">
        <v>2014</v>
      </c>
      <c r="K26">
        <v>2015</v>
      </c>
      <c r="L26">
        <v>2016</v>
      </c>
      <c r="M26">
        <v>2017</v>
      </c>
      <c r="N26">
        <v>2018</v>
      </c>
      <c r="O26">
        <v>2019</v>
      </c>
      <c r="P26">
        <v>2020</v>
      </c>
      <c r="Q26">
        <v>2021</v>
      </c>
      <c r="R26">
        <v>2022</v>
      </c>
      <c r="S26">
        <v>2023</v>
      </c>
      <c r="T26">
        <v>2024</v>
      </c>
      <c r="U26">
        <v>2025</v>
      </c>
      <c r="V26">
        <v>2026</v>
      </c>
      <c r="W26">
        <v>2027</v>
      </c>
      <c r="X26">
        <v>2028</v>
      </c>
      <c r="Y26">
        <v>2029</v>
      </c>
      <c r="Z26">
        <v>2030</v>
      </c>
    </row>
    <row r="27" spans="1:26" x14ac:dyDescent="0.25">
      <c r="A27" t="str">
        <f>A21</f>
        <v>Japan</v>
      </c>
      <c r="B27" s="3">
        <f>I9</f>
        <v>14584545984.156548</v>
      </c>
      <c r="C27" s="3">
        <f>B27</f>
        <v>14584545984.156548</v>
      </c>
      <c r="D27" s="3">
        <f t="shared" ref="D27:Z30" si="9">C27</f>
        <v>14584545984.156548</v>
      </c>
      <c r="E27" s="3">
        <f t="shared" si="9"/>
        <v>14584545984.156548</v>
      </c>
      <c r="F27" s="3">
        <f t="shared" si="9"/>
        <v>14584545984.156548</v>
      </c>
      <c r="G27" s="3">
        <f t="shared" si="9"/>
        <v>14584545984.156548</v>
      </c>
      <c r="H27" s="3">
        <f t="shared" si="9"/>
        <v>14584545984.156548</v>
      </c>
      <c r="I27" s="3">
        <f t="shared" si="9"/>
        <v>14584545984.156548</v>
      </c>
      <c r="J27" s="3">
        <f t="shared" si="9"/>
        <v>14584545984.156548</v>
      </c>
      <c r="K27" s="3">
        <f t="shared" si="9"/>
        <v>14584545984.156548</v>
      </c>
      <c r="L27" s="3">
        <f t="shared" si="9"/>
        <v>14584545984.156548</v>
      </c>
      <c r="M27" s="3">
        <f t="shared" si="9"/>
        <v>14584545984.156548</v>
      </c>
      <c r="N27" s="3">
        <f t="shared" si="9"/>
        <v>14584545984.156548</v>
      </c>
      <c r="O27" s="3">
        <f t="shared" si="9"/>
        <v>14584545984.156548</v>
      </c>
      <c r="P27" s="3">
        <f t="shared" si="9"/>
        <v>14584545984.156548</v>
      </c>
      <c r="Q27" s="3">
        <f t="shared" si="9"/>
        <v>14584545984.156548</v>
      </c>
      <c r="R27" s="3">
        <f t="shared" si="9"/>
        <v>14584545984.156548</v>
      </c>
      <c r="S27" s="3">
        <f t="shared" si="9"/>
        <v>14584545984.156548</v>
      </c>
      <c r="T27" s="3">
        <f t="shared" si="9"/>
        <v>14584545984.156548</v>
      </c>
      <c r="U27" s="3">
        <f t="shared" si="9"/>
        <v>14584545984.156548</v>
      </c>
      <c r="V27" s="3">
        <f t="shared" si="9"/>
        <v>14584545984.156548</v>
      </c>
      <c r="W27" s="3">
        <f t="shared" si="9"/>
        <v>14584545984.156548</v>
      </c>
      <c r="X27" s="3">
        <f t="shared" si="9"/>
        <v>14584545984.156548</v>
      </c>
      <c r="Y27" s="3">
        <f t="shared" si="9"/>
        <v>14584545984.156548</v>
      </c>
      <c r="Z27" s="3">
        <f t="shared" si="9"/>
        <v>14584545984.156548</v>
      </c>
    </row>
    <row r="28" spans="1:26" x14ac:dyDescent="0.25">
      <c r="A28" t="str">
        <f t="shared" ref="A28:A30" si="10">A22</f>
        <v/>
      </c>
      <c r="B28" s="3" t="e">
        <f>I10</f>
        <v>#N/A</v>
      </c>
      <c r="C28" s="3" t="e">
        <f t="shared" ref="C28:R30" si="11">B28</f>
        <v>#N/A</v>
      </c>
      <c r="D28" s="3" t="e">
        <f t="shared" si="11"/>
        <v>#N/A</v>
      </c>
      <c r="E28" s="3" t="e">
        <f t="shared" si="11"/>
        <v>#N/A</v>
      </c>
      <c r="F28" s="3" t="e">
        <f t="shared" si="11"/>
        <v>#N/A</v>
      </c>
      <c r="G28" s="3" t="e">
        <f t="shared" si="11"/>
        <v>#N/A</v>
      </c>
      <c r="H28" s="3" t="e">
        <f t="shared" si="11"/>
        <v>#N/A</v>
      </c>
      <c r="I28" s="3" t="e">
        <f t="shared" si="11"/>
        <v>#N/A</v>
      </c>
      <c r="J28" s="3" t="e">
        <f t="shared" si="11"/>
        <v>#N/A</v>
      </c>
      <c r="K28" s="3" t="e">
        <f t="shared" si="11"/>
        <v>#N/A</v>
      </c>
      <c r="L28" s="3" t="e">
        <f t="shared" si="11"/>
        <v>#N/A</v>
      </c>
      <c r="M28" s="3" t="e">
        <f t="shared" si="11"/>
        <v>#N/A</v>
      </c>
      <c r="N28" s="3" t="e">
        <f t="shared" si="11"/>
        <v>#N/A</v>
      </c>
      <c r="O28" s="3" t="e">
        <f t="shared" si="11"/>
        <v>#N/A</v>
      </c>
      <c r="P28" s="3" t="e">
        <f t="shared" si="11"/>
        <v>#N/A</v>
      </c>
      <c r="Q28" s="3" t="e">
        <f t="shared" si="11"/>
        <v>#N/A</v>
      </c>
      <c r="R28" s="3" t="e">
        <f t="shared" si="11"/>
        <v>#N/A</v>
      </c>
      <c r="S28" s="3" t="e">
        <f t="shared" si="9"/>
        <v>#N/A</v>
      </c>
      <c r="T28" s="3" t="e">
        <f t="shared" si="9"/>
        <v>#N/A</v>
      </c>
      <c r="U28" s="3" t="e">
        <f t="shared" si="9"/>
        <v>#N/A</v>
      </c>
      <c r="V28" s="3" t="e">
        <f t="shared" si="9"/>
        <v>#N/A</v>
      </c>
      <c r="W28" s="3" t="e">
        <f t="shared" si="9"/>
        <v>#N/A</v>
      </c>
      <c r="X28" s="3" t="e">
        <f t="shared" si="9"/>
        <v>#N/A</v>
      </c>
      <c r="Y28" s="3" t="e">
        <f t="shared" si="9"/>
        <v>#N/A</v>
      </c>
      <c r="Z28" s="3" t="e">
        <f t="shared" si="9"/>
        <v>#N/A</v>
      </c>
    </row>
    <row r="29" spans="1:26" x14ac:dyDescent="0.25">
      <c r="A29" t="str">
        <f t="shared" si="10"/>
        <v/>
      </c>
      <c r="B29" s="3" t="e">
        <f>I11</f>
        <v>#N/A</v>
      </c>
      <c r="C29" s="3" t="e">
        <f t="shared" si="11"/>
        <v>#N/A</v>
      </c>
      <c r="D29" s="3" t="e">
        <f t="shared" si="9"/>
        <v>#N/A</v>
      </c>
      <c r="E29" s="3" t="e">
        <f t="shared" si="9"/>
        <v>#N/A</v>
      </c>
      <c r="F29" s="3" t="e">
        <f t="shared" si="9"/>
        <v>#N/A</v>
      </c>
      <c r="G29" s="3" t="e">
        <f t="shared" si="9"/>
        <v>#N/A</v>
      </c>
      <c r="H29" s="3" t="e">
        <f t="shared" si="9"/>
        <v>#N/A</v>
      </c>
      <c r="I29" s="3" t="e">
        <f t="shared" si="9"/>
        <v>#N/A</v>
      </c>
      <c r="J29" s="3" t="e">
        <f t="shared" si="9"/>
        <v>#N/A</v>
      </c>
      <c r="K29" s="3" t="e">
        <f t="shared" si="9"/>
        <v>#N/A</v>
      </c>
      <c r="L29" s="3" t="e">
        <f t="shared" si="9"/>
        <v>#N/A</v>
      </c>
      <c r="M29" s="3" t="e">
        <f t="shared" si="9"/>
        <v>#N/A</v>
      </c>
      <c r="N29" s="3" t="e">
        <f t="shared" si="9"/>
        <v>#N/A</v>
      </c>
      <c r="O29" s="3" t="e">
        <f t="shared" si="9"/>
        <v>#N/A</v>
      </c>
      <c r="P29" s="3" t="e">
        <f t="shared" si="9"/>
        <v>#N/A</v>
      </c>
      <c r="Q29" s="3" t="e">
        <f t="shared" si="9"/>
        <v>#N/A</v>
      </c>
      <c r="R29" s="3" t="e">
        <f t="shared" si="9"/>
        <v>#N/A</v>
      </c>
      <c r="S29" s="3" t="e">
        <f t="shared" si="9"/>
        <v>#N/A</v>
      </c>
      <c r="T29" s="3" t="e">
        <f t="shared" si="9"/>
        <v>#N/A</v>
      </c>
      <c r="U29" s="3" t="e">
        <f t="shared" si="9"/>
        <v>#N/A</v>
      </c>
      <c r="V29" s="3" t="e">
        <f t="shared" si="9"/>
        <v>#N/A</v>
      </c>
      <c r="W29" s="3" t="e">
        <f t="shared" si="9"/>
        <v>#N/A</v>
      </c>
      <c r="X29" s="3" t="e">
        <f t="shared" si="9"/>
        <v>#N/A</v>
      </c>
      <c r="Y29" s="3" t="e">
        <f t="shared" si="9"/>
        <v>#N/A</v>
      </c>
      <c r="Z29" s="3" t="e">
        <f t="shared" si="9"/>
        <v>#N/A</v>
      </c>
    </row>
    <row r="30" spans="1:26" x14ac:dyDescent="0.25">
      <c r="A30" t="str">
        <f t="shared" si="10"/>
        <v/>
      </c>
      <c r="B30" s="3" t="e">
        <f>I12</f>
        <v>#N/A</v>
      </c>
      <c r="C30" s="3" t="e">
        <f t="shared" si="11"/>
        <v>#N/A</v>
      </c>
      <c r="D30" s="3" t="e">
        <f t="shared" si="9"/>
        <v>#N/A</v>
      </c>
      <c r="E30" s="3" t="e">
        <f t="shared" si="9"/>
        <v>#N/A</v>
      </c>
      <c r="F30" s="3" t="e">
        <f t="shared" si="9"/>
        <v>#N/A</v>
      </c>
      <c r="G30" s="3" t="e">
        <f t="shared" si="9"/>
        <v>#N/A</v>
      </c>
      <c r="H30" s="3" t="e">
        <f t="shared" si="9"/>
        <v>#N/A</v>
      </c>
      <c r="I30" s="3" t="e">
        <f t="shared" si="9"/>
        <v>#N/A</v>
      </c>
      <c r="J30" s="3" t="e">
        <f t="shared" si="9"/>
        <v>#N/A</v>
      </c>
      <c r="K30" s="3" t="e">
        <f t="shared" si="9"/>
        <v>#N/A</v>
      </c>
      <c r="L30" s="3" t="e">
        <f t="shared" si="9"/>
        <v>#N/A</v>
      </c>
      <c r="M30" s="3" t="e">
        <f t="shared" si="9"/>
        <v>#N/A</v>
      </c>
      <c r="N30" s="3" t="e">
        <f t="shared" si="9"/>
        <v>#N/A</v>
      </c>
      <c r="O30" s="3" t="e">
        <f t="shared" si="9"/>
        <v>#N/A</v>
      </c>
      <c r="P30" s="3" t="e">
        <f t="shared" si="9"/>
        <v>#N/A</v>
      </c>
      <c r="Q30" s="3" t="e">
        <f t="shared" si="9"/>
        <v>#N/A</v>
      </c>
      <c r="R30" s="3" t="e">
        <f t="shared" si="9"/>
        <v>#N/A</v>
      </c>
      <c r="S30" s="3" t="e">
        <f t="shared" si="9"/>
        <v>#N/A</v>
      </c>
      <c r="T30" s="3" t="e">
        <f t="shared" si="9"/>
        <v>#N/A</v>
      </c>
      <c r="U30" s="3" t="e">
        <f t="shared" si="9"/>
        <v>#N/A</v>
      </c>
      <c r="V30" s="3" t="e">
        <f t="shared" si="9"/>
        <v>#N/A</v>
      </c>
      <c r="W30" s="3" t="e">
        <f t="shared" si="9"/>
        <v>#N/A</v>
      </c>
      <c r="X30" s="3" t="e">
        <f t="shared" si="9"/>
        <v>#N/A</v>
      </c>
      <c r="Y30" s="3" t="e">
        <f t="shared" si="9"/>
        <v>#N/A</v>
      </c>
      <c r="Z30" s="3" t="e">
        <f t="shared" si="9"/>
        <v>#N/A</v>
      </c>
    </row>
    <row r="31" spans="1:26" x14ac:dyDescent="0.25">
      <c r="A31" s="203" t="s">
        <v>186</v>
      </c>
      <c r="B31" s="203"/>
      <c r="C31" s="203"/>
    </row>
    <row r="32" spans="1:26" x14ac:dyDescent="0.25">
      <c r="A32" t="s">
        <v>161</v>
      </c>
      <c r="B32">
        <v>2006</v>
      </c>
      <c r="C32">
        <v>2007</v>
      </c>
      <c r="D32">
        <v>2008</v>
      </c>
      <c r="E32">
        <v>2009</v>
      </c>
      <c r="F32">
        <v>2010</v>
      </c>
      <c r="G32">
        <v>2011</v>
      </c>
      <c r="H32">
        <v>2012</v>
      </c>
      <c r="I32">
        <v>2013</v>
      </c>
      <c r="J32">
        <v>2014</v>
      </c>
      <c r="K32">
        <v>2015</v>
      </c>
      <c r="L32">
        <v>2016</v>
      </c>
      <c r="M32">
        <v>2017</v>
      </c>
      <c r="N32">
        <v>2018</v>
      </c>
      <c r="O32">
        <v>2019</v>
      </c>
      <c r="P32">
        <v>2020</v>
      </c>
      <c r="Q32">
        <v>2021</v>
      </c>
      <c r="R32">
        <v>2022</v>
      </c>
      <c r="S32">
        <v>2023</v>
      </c>
      <c r="T32">
        <v>2024</v>
      </c>
      <c r="U32">
        <v>2025</v>
      </c>
      <c r="V32">
        <v>2026</v>
      </c>
      <c r="W32">
        <v>2027</v>
      </c>
      <c r="X32">
        <v>2028</v>
      </c>
      <c r="Y32">
        <v>2029</v>
      </c>
      <c r="Z32">
        <v>2030</v>
      </c>
    </row>
    <row r="33" spans="1:26" x14ac:dyDescent="0.25">
      <c r="A33" s="74" t="str">
        <f>A27</f>
        <v>Japan</v>
      </c>
      <c r="B33" s="74"/>
      <c r="C33" s="74"/>
    </row>
    <row r="34" spans="1:26" x14ac:dyDescent="0.25">
      <c r="A34" s="74" t="str">
        <f t="shared" ref="A34:A35" si="12">A28</f>
        <v/>
      </c>
      <c r="B34" s="74"/>
      <c r="C34" s="74"/>
    </row>
    <row r="35" spans="1:26" x14ac:dyDescent="0.25">
      <c r="A35" s="74" t="str">
        <f t="shared" si="12"/>
        <v/>
      </c>
      <c r="B35" s="74"/>
      <c r="C35" s="74"/>
    </row>
    <row r="36" spans="1:26" x14ac:dyDescent="0.25">
      <c r="A36" s="74" t="str">
        <f>A30</f>
        <v/>
      </c>
      <c r="B36" s="74"/>
      <c r="C36" s="74"/>
    </row>
    <row r="37" spans="1:26" x14ac:dyDescent="0.25">
      <c r="A37" s="203" t="s">
        <v>201</v>
      </c>
      <c r="B37" s="203"/>
      <c r="C37" s="203"/>
    </row>
    <row r="38" spans="1:26" x14ac:dyDescent="0.25">
      <c r="A38" t="s">
        <v>161</v>
      </c>
      <c r="B38" t="s">
        <v>164</v>
      </c>
      <c r="C38" t="s">
        <v>172</v>
      </c>
      <c r="D38" t="s">
        <v>202</v>
      </c>
      <c r="E38" t="s">
        <v>203</v>
      </c>
    </row>
    <row r="39" spans="1:26" x14ac:dyDescent="0.25">
      <c r="A39" s="74" t="str">
        <f>A33</f>
        <v>Japan</v>
      </c>
      <c r="B39" s="48">
        <f>IF(A39="","",IF(VLOOKUP(A39,Custom_Growth_Rates,2,FALSE)="",Machine!$D$10,VLOOKUP(A39,Custom_Growth_Rates,2,FALSE)))</f>
        <v>0.03</v>
      </c>
      <c r="C39" s="48">
        <f>IF(A39="","",IF(VLOOKUP(A39,Custom_Growth_Rates,3,FALSE)="",Machine!D$11,VLOOKUP(A39,Custom_Growth_Rates,3,FALSE)))</f>
        <v>0.03</v>
      </c>
      <c r="D39" s="48">
        <f>IF(A39="","",IF(COUNTIF(Developing,A39)=1,Machine!$D$25,Machine!$D$26))</f>
        <v>0.2</v>
      </c>
      <c r="E39" s="48">
        <f>IF(A39="","",IF(A39="China",17%,((IF(A39='Custom Member Setup'!D3,'Custom Member Setup'!D4+'Custom Member Setup'!D5,IF(COUNTIF(Developed,A39)=1,10%,20%))))))</f>
        <v>0.1</v>
      </c>
    </row>
    <row r="40" spans="1:26" x14ac:dyDescent="0.25">
      <c r="A40" s="74" t="str">
        <f>A34</f>
        <v/>
      </c>
      <c r="B40" s="48" t="str">
        <f>IF(A40="","",IF(VLOOKUP(A40,Custom_Growth_Rates,2,FALSE)="",Machine!$D$10,VLOOKUP(A40,Custom_Growth_Rates,2,FALSE)))</f>
        <v/>
      </c>
      <c r="C40" s="48" t="str">
        <f>IF(A40="","",IF(VLOOKUP(A40,Custom_Growth_Rates,3,FALSE)="",Machine!D$11,VLOOKUP(A40,Custom_Growth_Rates,3,FALSE)))</f>
        <v/>
      </c>
      <c r="D40" s="48" t="str">
        <f>IF(A40="","",IF(COUNTIF(Developing,A40)=1,Machine!$D$25,Machine!$D$26))</f>
        <v/>
      </c>
      <c r="E40" s="48" t="str">
        <f>IF(A40="","",IF(A40="China",17%,((IF(A40='Custom Member Setup'!D4,'Custom Member Setup'!D5+'Custom Member Setup'!D6,IF(COUNTIF(Developed,A40)=1,10%,20%))))))</f>
        <v/>
      </c>
    </row>
    <row r="41" spans="1:26" x14ac:dyDescent="0.25">
      <c r="A41" s="74" t="str">
        <f>A35</f>
        <v/>
      </c>
      <c r="B41" s="48" t="str">
        <f>IF(A41="","",IF(VLOOKUP(A41,Custom_Growth_Rates,2,FALSE)="",Machine!$D$10,VLOOKUP(A41,Custom_Growth_Rates,2,FALSE)))</f>
        <v/>
      </c>
      <c r="C41" s="48" t="str">
        <f>IF(A41="","",IF(VLOOKUP(A41,Custom_Growth_Rates,3,FALSE)="",Machine!D$11,VLOOKUP(A41,Custom_Growth_Rates,3,FALSE)))</f>
        <v/>
      </c>
      <c r="D41" s="48" t="str">
        <f>IF(A41="","",IF(COUNTIF(Developing,A41)=1,Machine!$D$25,Machine!$D$26))</f>
        <v/>
      </c>
      <c r="E41" s="48" t="str">
        <f>IF(A41="","",IF(A41="China",17%,((IF(A41='Custom Member Setup'!D5,'Custom Member Setup'!D6+'Custom Member Setup'!D7,IF(COUNTIF(Developed,A41)=1,10%,20%))))))</f>
        <v/>
      </c>
    </row>
    <row r="42" spans="1:26" x14ac:dyDescent="0.25">
      <c r="A42" s="74" t="str">
        <f>A36</f>
        <v/>
      </c>
      <c r="B42" s="48" t="str">
        <f>IF(A42="","",IF(VLOOKUP(A42,Custom_Growth_Rates,2,FALSE)="",Machine!$D$10,VLOOKUP(A42,Custom_Growth_Rates,2,FALSE)))</f>
        <v/>
      </c>
      <c r="C42" s="48" t="str">
        <f>IF(A42="","",IF(VLOOKUP(A42,Custom_Growth_Rates,3,FALSE)="",Machine!D$11,VLOOKUP(A42,Custom_Growth_Rates,3,FALSE)))</f>
        <v/>
      </c>
      <c r="D42" s="48" t="str">
        <f>IF(A42="","",IF(COUNTIF(Developing,A42)=1,Machine!$D$25,Machine!$D$26))</f>
        <v/>
      </c>
      <c r="E42" s="48" t="str">
        <f>IF(A42="","",IF(A42="China",17%,((IF(A42='Custom Member Setup'!D6,'Custom Member Setup'!D7+'Custom Member Setup'!D8,IF(COUNTIF(Developed,A42)=1,10%,20%))))))</f>
        <v/>
      </c>
    </row>
    <row r="43" spans="1:26" x14ac:dyDescent="0.25">
      <c r="A43" s="203" t="s">
        <v>423</v>
      </c>
      <c r="B43" s="203"/>
      <c r="C43" s="203"/>
      <c r="D43" s="48"/>
      <c r="E43" s="48"/>
    </row>
    <row r="44" spans="1:26" x14ac:dyDescent="0.25">
      <c r="B44">
        <v>2006</v>
      </c>
      <c r="C44">
        <v>2007</v>
      </c>
      <c r="D44">
        <v>2008</v>
      </c>
      <c r="E44">
        <v>2009</v>
      </c>
      <c r="F44">
        <v>2010</v>
      </c>
      <c r="G44">
        <v>2011</v>
      </c>
      <c r="H44">
        <v>2012</v>
      </c>
      <c r="I44">
        <v>2013</v>
      </c>
      <c r="J44">
        <v>2014</v>
      </c>
      <c r="K44">
        <v>2015</v>
      </c>
      <c r="L44">
        <v>2016</v>
      </c>
      <c r="M44">
        <v>2017</v>
      </c>
      <c r="N44">
        <v>2018</v>
      </c>
      <c r="O44">
        <v>2019</v>
      </c>
      <c r="P44">
        <v>2020</v>
      </c>
      <c r="Q44">
        <v>2021</v>
      </c>
      <c r="R44">
        <v>2022</v>
      </c>
      <c r="S44">
        <v>2023</v>
      </c>
      <c r="T44">
        <v>2024</v>
      </c>
      <c r="U44">
        <v>2025</v>
      </c>
      <c r="V44">
        <v>2026</v>
      </c>
      <c r="W44">
        <v>2027</v>
      </c>
      <c r="X44">
        <v>2028</v>
      </c>
      <c r="Y44">
        <v>2029</v>
      </c>
      <c r="Z44">
        <v>2030</v>
      </c>
    </row>
    <row r="45" spans="1:26" x14ac:dyDescent="0.25">
      <c r="A45" t="str">
        <f>IF(Machine!H10="Hide","","AMS + De Minimis Limit")</f>
        <v/>
      </c>
      <c r="B45" s="51" t="str">
        <f>IF(MATCH(Machine!$F$8,Machine!$B$3:$B$6,FALSE)=0,"",IF(Machine!$H$10="Hide","",VLOOKUP(Machine!$F$8,'Machine Calculations'!$A$15:$Z$18,'Machine Calculations'!B44-2004,FALSE)))</f>
        <v/>
      </c>
      <c r="C45" s="51" t="str">
        <f>IF(MATCH(Machine!$F$8,Machine!$B$3:$B$6,FALSE)=0,"",IF(Machine!$H$10="Hide","",VLOOKUP(Machine!$F$8,'Machine Calculations'!$A$15:$Z$18,'Machine Calculations'!C44-2004,FALSE)))</f>
        <v/>
      </c>
      <c r="D45" s="51" t="str">
        <f>IF(MATCH(Machine!$F$8,Machine!$B$3:$B$6,FALSE)=0,"",IF(Machine!$H$10="Hide","",VLOOKUP(Machine!$F$8,'Machine Calculations'!$A$15:$Z$18,'Machine Calculations'!D44-2004,FALSE)))</f>
        <v/>
      </c>
      <c r="E45" s="51" t="str">
        <f>IF(MATCH(Machine!$F$8,Machine!$B$3:$B$6,FALSE)=0,"",IF(Machine!$H$10="Hide","",VLOOKUP(Machine!$F$8,'Machine Calculations'!$A$15:$Z$18,'Machine Calculations'!E44-2004,FALSE)))</f>
        <v/>
      </c>
      <c r="F45" s="51" t="str">
        <f>IF(MATCH(Machine!$F$8,Machine!$B$3:$B$6,FALSE)=0,"",IF(Machine!$H$10="Hide","",VLOOKUP(Machine!$F$8,'Machine Calculations'!$A$15:$Z$18,'Machine Calculations'!F44-2004,FALSE)))</f>
        <v/>
      </c>
      <c r="G45" s="51" t="str">
        <f>IF(MATCH(Machine!$F$8,Machine!$B$3:$B$6,FALSE)=0,"",IF(Machine!$H$10="Hide","",VLOOKUP(Machine!$F$8,'Machine Calculations'!$A$15:$Z$18,'Machine Calculations'!G44-2004,FALSE)))</f>
        <v/>
      </c>
      <c r="H45" s="51" t="str">
        <f>IF(MATCH(Machine!$F$8,Machine!$B$3:$B$6,FALSE)=0,"",IF(Machine!$H$10="Hide","",VLOOKUP(Machine!$F$8,'Machine Calculations'!$A$15:$Z$18,'Machine Calculations'!H44-2004,FALSE)))</f>
        <v/>
      </c>
      <c r="I45" s="51" t="str">
        <f>IF(MATCH(Machine!$F$8,Machine!$B$3:$B$6,FALSE)=0,"",IF(Machine!$H$10="Hide","",VLOOKUP(Machine!$F$8,'Machine Calculations'!$A$15:$Z$18,'Machine Calculations'!I44-2004,FALSE)))</f>
        <v/>
      </c>
      <c r="J45" s="51" t="str">
        <f>IF(MATCH(Machine!$F$8,Machine!$B$3:$B$6,FALSE)=0,"",IF(Machine!$H$10="Hide","",VLOOKUP(Machine!$F$8,'Machine Calculations'!$A$15:$Z$18,'Machine Calculations'!J44-2004,FALSE)))</f>
        <v/>
      </c>
      <c r="K45" s="51" t="str">
        <f>IF(MATCH(Machine!$F$8,Machine!$B$3:$B$6,FALSE)=0,"",IF(Machine!$H$10="Hide","",VLOOKUP(Machine!$F$8,'Machine Calculations'!$A$15:$Z$18,'Machine Calculations'!K44-2004,FALSE)))</f>
        <v/>
      </c>
      <c r="L45" s="51" t="str">
        <f>IF(MATCH(Machine!$F$8,Machine!$B$3:$B$6,FALSE)=0,"",IF(Machine!$H$10="Hide","",VLOOKUP(Machine!$F$8,'Machine Calculations'!$A$15:$Z$18,'Machine Calculations'!L44-2004,FALSE)))</f>
        <v/>
      </c>
      <c r="M45" s="51" t="str">
        <f>IF(MATCH(Machine!$F$8,Machine!$B$3:$B$6,FALSE)=0,"",IF(Machine!$H$10="Hide","",VLOOKUP(Machine!$F$8,'Machine Calculations'!$A$15:$Z$18,'Machine Calculations'!M44-2004,FALSE)))</f>
        <v/>
      </c>
      <c r="N45" s="51" t="str">
        <f>IF(MATCH(Machine!$F$8,Machine!$B$3:$B$6,FALSE)=0,"",IF(Machine!$H$10="Hide","",VLOOKUP(Machine!$F$8,'Machine Calculations'!$A$15:$Z$18,'Machine Calculations'!N44-2004,FALSE)))</f>
        <v/>
      </c>
      <c r="O45" s="51" t="str">
        <f>IF(MATCH(Machine!$F$8,Machine!$B$3:$B$6,FALSE)=0,"",IF(Machine!$H$10="Hide","",VLOOKUP(Machine!$F$8,'Machine Calculations'!$A$15:$Z$18,'Machine Calculations'!O44-2004,FALSE)))</f>
        <v/>
      </c>
      <c r="P45" s="51" t="str">
        <f>IF(MATCH(Machine!$F$8,Machine!$B$3:$B$6,FALSE)=0,"",IF(Machine!$H$10="Hide","",VLOOKUP(Machine!$F$8,'Machine Calculations'!$A$15:$Z$18,'Machine Calculations'!P44-2004,FALSE)))</f>
        <v/>
      </c>
      <c r="Q45" s="51" t="str">
        <f>IF(MATCH(Machine!$F$8,Machine!$B$3:$B$6,FALSE)=0,"",IF(Machine!$H$10="Hide","",VLOOKUP(Machine!$F$8,'Machine Calculations'!$A$15:$Z$18,'Machine Calculations'!Q44-2004,FALSE)))</f>
        <v/>
      </c>
      <c r="R45" s="51" t="str">
        <f>IF(MATCH(Machine!$F$8,Machine!$B$3:$B$6,FALSE)=0,"",IF(Machine!$H$10="Hide","",VLOOKUP(Machine!$F$8,'Machine Calculations'!$A$15:$Z$18,'Machine Calculations'!R44-2004,FALSE)))</f>
        <v/>
      </c>
      <c r="S45" s="51" t="str">
        <f>IF(MATCH(Machine!$F$8,Machine!$B$3:$B$6,FALSE)=0,"",IF(Machine!$H$10="Hide","",VLOOKUP(Machine!$F$8,'Machine Calculations'!$A$15:$Z$18,'Machine Calculations'!S44-2004,FALSE)))</f>
        <v/>
      </c>
      <c r="T45" s="51" t="str">
        <f>IF(MATCH(Machine!$F$8,Machine!$B$3:$B$6,FALSE)=0,"",IF(Machine!$H$10="Hide","",VLOOKUP(Machine!$F$8,'Machine Calculations'!$A$15:$Z$18,'Machine Calculations'!T44-2004,FALSE)))</f>
        <v/>
      </c>
      <c r="U45" s="51" t="str">
        <f>IF(MATCH(Machine!$F$8,Machine!$B$3:$B$6,FALSE)=0,"",IF(Machine!$H$10="Hide","",VLOOKUP(Machine!$F$8,'Machine Calculations'!$A$15:$Z$18,'Machine Calculations'!U44-2004,FALSE)))</f>
        <v/>
      </c>
      <c r="V45" s="51" t="str">
        <f>IF(MATCH(Machine!$F$8,Machine!$B$3:$B$6,FALSE)=0,"",IF(Machine!$H$10="Hide","",VLOOKUP(Machine!$F$8,'Machine Calculations'!$A$15:$Z$18,'Machine Calculations'!V44-2004,FALSE)))</f>
        <v/>
      </c>
      <c r="W45" s="51" t="str">
        <f>IF(MATCH(Machine!$F$8,Machine!$B$3:$B$6,FALSE)=0,"",IF(Machine!$H$10="Hide","",VLOOKUP(Machine!$F$8,'Machine Calculations'!$A$15:$Z$18,'Machine Calculations'!W44-2004,FALSE)))</f>
        <v/>
      </c>
      <c r="X45" s="51" t="str">
        <f>IF(MATCH(Machine!$F$8,Machine!$B$3:$B$6,FALSE)=0,"",IF(Machine!$H$10="Hide","",VLOOKUP(Machine!$F$8,'Machine Calculations'!$A$15:$Z$18,'Machine Calculations'!X44-2004,FALSE)))</f>
        <v/>
      </c>
      <c r="Y45" s="51" t="str">
        <f>IF(MATCH(Machine!$F$8,Machine!$B$3:$B$6,FALSE)=0,"",IF(Machine!$H$10="Hide","",VLOOKUP(Machine!$F$8,'Machine Calculations'!$A$15:$Z$18,'Machine Calculations'!Y44-2004,FALSE)))</f>
        <v/>
      </c>
      <c r="Z45" s="51" t="str">
        <f>IF(MATCH(Machine!$F$8,Machine!$B$3:$B$6,FALSE)=0,"",IF(Machine!$H$10="Hide","",VLOOKUP(Machine!$F$8,'Machine Calculations'!$A$15:$Z$18,'Machine Calculations'!Z44-2004,FALSE)))</f>
        <v/>
      </c>
    </row>
    <row r="46" spans="1:26" x14ac:dyDescent="0.25">
      <c r="A46" t="str">
        <f>IF(Machine!J10="Hide","",Machine!K10)</f>
        <v/>
      </c>
      <c r="B46" s="51" t="str">
        <f>IF(Machine!$J$10="Hide","",VLOOKUP(Machine!$F$8,TDS_Spending,'Machine Calculations'!B44-2003,FALSE))</f>
        <v/>
      </c>
      <c r="C46" s="51" t="str">
        <f>IF(Machine!$J$10="Hide","",VLOOKUP(Machine!$F$8,TDS_Spending,'Machine Calculations'!C44-2003,FALSE))</f>
        <v/>
      </c>
      <c r="D46" s="51" t="str">
        <f>IF(Machine!$J$10="Hide","",VLOOKUP(Machine!$F$8,TDS_Spending,'Machine Calculations'!D44-2003,FALSE))</f>
        <v/>
      </c>
      <c r="E46" s="51" t="str">
        <f>IF(Machine!$J$10="Hide","",VLOOKUP(Machine!$F$8,TDS_Spending,'Machine Calculations'!E44-2003,FALSE))</f>
        <v/>
      </c>
      <c r="F46" s="51" t="str">
        <f>IF(Machine!$J$10="Hide","",VLOOKUP(Machine!$F$8,TDS_Spending,'Machine Calculations'!F44-2003,FALSE))</f>
        <v/>
      </c>
      <c r="G46" s="51" t="str">
        <f>IF(Machine!$J$10="Hide","",VLOOKUP(Machine!$F$8,TDS_Spending,'Machine Calculations'!G44-2003,FALSE))</f>
        <v/>
      </c>
      <c r="H46" s="51" t="str">
        <f>IF(Machine!$J$10="Hide","",VLOOKUP(Machine!$F$8,TDS_Spending,'Machine Calculations'!H44-2003,FALSE))</f>
        <v/>
      </c>
      <c r="I46" s="51" t="str">
        <f>IF(Machine!$J$10="Hide","",VLOOKUP(Machine!$F$8,TDS_Spending,'Machine Calculations'!I44-2003,FALSE))</f>
        <v/>
      </c>
      <c r="J46" s="51" t="str">
        <f>IF(Machine!$J$10="Hide","",VLOOKUP(Machine!$F$8,TDS_Spending,'Machine Calculations'!J44-2003,FALSE))</f>
        <v/>
      </c>
      <c r="K46" s="51" t="str">
        <f>IF(Machine!$J$10="Hide","",VLOOKUP(Machine!$F$8,TDS_Spending,'Machine Calculations'!K44-2003,FALSE))</f>
        <v/>
      </c>
      <c r="L46" s="51" t="str">
        <f>IF(Machine!$J$10="Hide","",VLOOKUP(Machine!$F$8,TDS_Spending,'Machine Calculations'!L44-2003,FALSE))</f>
        <v/>
      </c>
      <c r="M46" s="51" t="str">
        <f>IF(Machine!$J$10="Hide","",VLOOKUP(Machine!$F$8,TDS_Spending,'Machine Calculations'!M44-2003,FALSE))</f>
        <v/>
      </c>
      <c r="N46" s="51" t="str">
        <f>IF(Machine!$J$10="Hide","",VLOOKUP(Machine!$F$8,TDS_Spending,'Machine Calculations'!N44-2003,FALSE))</f>
        <v/>
      </c>
      <c r="O46" s="51" t="str">
        <f>IF(Machine!$J$10="Hide","",VLOOKUP(Machine!$F$8,TDS_Spending,'Machine Calculations'!O44-2003,FALSE))</f>
        <v/>
      </c>
      <c r="P46" s="51" t="str">
        <f>IF(Machine!$J$10="Hide","",VLOOKUP(Machine!$F$8,TDS_Spending,'Machine Calculations'!P44-2003,FALSE))</f>
        <v/>
      </c>
      <c r="Q46" s="51" t="str">
        <f>IF(Machine!$J$10="Hide","",VLOOKUP(Machine!$F$8,TDS_Spending,'Machine Calculations'!Q44-2003,FALSE))</f>
        <v/>
      </c>
      <c r="R46" s="51" t="str">
        <f>IF(Machine!$J$10="Hide","",VLOOKUP(Machine!$F$8,TDS_Spending,'Machine Calculations'!R44-2003,FALSE))</f>
        <v/>
      </c>
      <c r="S46" s="51" t="str">
        <f>IF(Machine!$J$10="Hide","",VLOOKUP(Machine!$F$8,TDS_Spending,'Machine Calculations'!S44-2003,FALSE))</f>
        <v/>
      </c>
      <c r="T46" s="51" t="str">
        <f>IF(Machine!$J$10="Hide","",VLOOKUP(Machine!$F$8,TDS_Spending,'Machine Calculations'!T44-2003,FALSE))</f>
        <v/>
      </c>
      <c r="U46" s="51" t="str">
        <f>IF(Machine!$J$10="Hide","",VLOOKUP(Machine!$F$8,TDS_Spending,'Machine Calculations'!U44-2003,FALSE))</f>
        <v/>
      </c>
      <c r="V46" s="51" t="str">
        <f>IF(Machine!$J$10="Hide","",VLOOKUP(Machine!$F$8,TDS_Spending,'Machine Calculations'!V44-2003,FALSE))</f>
        <v/>
      </c>
      <c r="W46" s="51" t="str">
        <f>IF(Machine!$J$10="Hide","",VLOOKUP(Machine!$F$8,TDS_Spending,'Machine Calculations'!W44-2003,FALSE))</f>
        <v/>
      </c>
      <c r="X46" s="51" t="str">
        <f>IF(Machine!$J$10="Hide","",VLOOKUP(Machine!$F$8,TDS_Spending,'Machine Calculations'!X44-2003,FALSE))</f>
        <v/>
      </c>
      <c r="Y46" s="51" t="str">
        <f>IF(Machine!$J$10="Hide","",VLOOKUP(Machine!$F$8,TDS_Spending,'Machine Calculations'!Y44-2003,FALSE))</f>
        <v/>
      </c>
      <c r="Z46" s="51" t="str">
        <f>IF(Machine!$J$10="Hide","",VLOOKUP(Machine!$F$8,TDS_Spending,'Machine Calculations'!Z44-2003,FALSE))</f>
        <v/>
      </c>
    </row>
    <row r="47" spans="1:26" x14ac:dyDescent="0.25">
      <c r="A47" t="str">
        <f>IF(Machine!J11="Hide","",Machine!K11)</f>
        <v>AMS + De Minimis Spending</v>
      </c>
      <c r="B47" s="51">
        <f>IF(Machine!$J$11="Hide","",VLOOKUP(Machine!$F$8,AMS_DM_Spending,'Machine Calculations'!B44-2003,FALSE))</f>
        <v>5083599507.8195124</v>
      </c>
      <c r="C47" s="51">
        <f>IF(Machine!$J$11="Hide","",VLOOKUP(Machine!$F$8,AMS_DM_Spending,'Machine Calculations'!C44-2003,FALSE))</f>
        <v>4186706648.5890331</v>
      </c>
      <c r="D47" s="51">
        <f>IF(Machine!$J$11="Hide","",VLOOKUP(Machine!$F$8,AMS_DM_Spending,'Machine Calculations'!D44-2003,FALSE))</f>
        <v>6007172628.2564144</v>
      </c>
      <c r="E47" s="51">
        <f>IF(Machine!$J$11="Hide","",VLOOKUP(Machine!$F$8,AMS_DM_Spending,'Machine Calculations'!E44-2003,FALSE))</f>
        <v>7201842226.8806648</v>
      </c>
      <c r="F47" s="51">
        <f>IF(Machine!$J$11="Hide","",VLOOKUP(Machine!$F$8,AMS_DM_Spending,'Machine Calculations'!F44-2003,FALSE))</f>
        <v>6780707633.8730984</v>
      </c>
      <c r="G47" s="51">
        <f>IF(Machine!$J$11="Hide","",VLOOKUP(Machine!$F$8,AMS_DM_Spending,'Machine Calculations'!G44-2003,FALSE))</f>
        <v>8186283867.8635674</v>
      </c>
      <c r="H47" s="51">
        <f>IF(Machine!$J$11="Hide","",VLOOKUP(Machine!$F$8,AMS_DM_Spending,'Machine Calculations'!H44-2003,FALSE))</f>
        <v>8774838721.9846039</v>
      </c>
      <c r="I47" s="51">
        <f>IF(Machine!$J$11="Hide","",VLOOKUP(Machine!$F$8,AMS_DM_Spending,'Machine Calculations'!I44-2003,FALSE))</f>
        <v>9038083883.6441422</v>
      </c>
      <c r="J47" s="51">
        <f>IF(Machine!$J$11="Hide","",VLOOKUP(Machine!$F$8,AMS_DM_Spending,'Machine Calculations'!J44-2003,FALSE))</f>
        <v>9309226400.1534672</v>
      </c>
      <c r="K47" s="51">
        <f>IF(Machine!$J$11="Hide","",VLOOKUP(Machine!$F$8,AMS_DM_Spending,'Machine Calculations'!K44-2003,FALSE))</f>
        <v>9588503192.1580715</v>
      </c>
      <c r="L47" s="51">
        <f>IF(Machine!$J$11="Hide","",VLOOKUP(Machine!$F$8,AMS_DM_Spending,'Machine Calculations'!L44-2003,FALSE))</f>
        <v>9876158287.9228134</v>
      </c>
      <c r="M47" s="51">
        <f>IF(Machine!$J$11="Hide","",VLOOKUP(Machine!$F$8,AMS_DM_Spending,'Machine Calculations'!M44-2003,FALSE))</f>
        <v>10172443036.560497</v>
      </c>
      <c r="N47" s="51">
        <f>IF(Machine!$J$11="Hide","",VLOOKUP(Machine!$F$8,AMS_DM_Spending,'Machine Calculations'!N44-2003,FALSE))</f>
        <v>10477616327.657312</v>
      </c>
      <c r="O47" s="51">
        <f>IF(Machine!$J$11="Hide","",VLOOKUP(Machine!$F$8,AMS_DM_Spending,'Machine Calculations'!O44-2003,FALSE))</f>
        <v>10791944817.487032</v>
      </c>
      <c r="P47" s="51">
        <f>IF(Machine!$J$11="Hide","",VLOOKUP(Machine!$F$8,AMS_DM_Spending,'Machine Calculations'!P44-2003,FALSE))</f>
        <v>11115703162.011642</v>
      </c>
      <c r="Q47" s="51">
        <f>IF(Machine!$J$11="Hide","",VLOOKUP(Machine!$F$8,AMS_DM_Spending,'Machine Calculations'!Q44-2003,FALSE))</f>
        <v>11449174256.871992</v>
      </c>
      <c r="R47" s="51">
        <f>IF(Machine!$J$11="Hide","",VLOOKUP(Machine!$F$8,AMS_DM_Spending,'Machine Calculations'!R44-2003,FALSE))</f>
        <v>11792649484.578152</v>
      </c>
      <c r="S47" s="51">
        <f>IF(Machine!$J$11="Hide","",VLOOKUP(Machine!$F$8,AMS_DM_Spending,'Machine Calculations'!S44-2003,FALSE))</f>
        <v>12146428969.115496</v>
      </c>
      <c r="T47" s="51">
        <f>IF(Machine!$J$11="Hide","",VLOOKUP(Machine!$F$8,AMS_DM_Spending,'Machine Calculations'!T44-2003,FALSE))</f>
        <v>12510821838.188961</v>
      </c>
      <c r="U47" s="51">
        <f>IF(Machine!$J$11="Hide","",VLOOKUP(Machine!$F$8,AMS_DM_Spending,'Machine Calculations'!U44-2003,FALSE))</f>
        <v>12886146493.334629</v>
      </c>
      <c r="V47" s="51">
        <f>IF(Machine!$J$11="Hide","",VLOOKUP(Machine!$F$8,AMS_DM_Spending,'Machine Calculations'!V44-2003,FALSE))</f>
        <v>13272730888.134668</v>
      </c>
      <c r="W47" s="51">
        <f>IF(Machine!$J$11="Hide","",VLOOKUP(Machine!$F$8,AMS_DM_Spending,'Machine Calculations'!W44-2003,FALSE))</f>
        <v>13670912814.778708</v>
      </c>
      <c r="X47" s="51">
        <f>IF(Machine!$J$11="Hide","",VLOOKUP(Machine!$F$8,AMS_DM_Spending,'Machine Calculations'!X44-2003,FALSE))</f>
        <v>14081040199.222069</v>
      </c>
      <c r="Y47" s="51">
        <f>IF(Machine!$J$11="Hide","",VLOOKUP(Machine!$F$8,AMS_DM_Spending,'Machine Calculations'!Y44-2003,FALSE))</f>
        <v>14503471405.19873</v>
      </c>
      <c r="Z47" s="51">
        <f>IF(Machine!$J$11="Hide","",VLOOKUP(Machine!$F$8,AMS_DM_Spending,'Machine Calculations'!Z44-2003,FALSE))</f>
        <v>14938575547.354692</v>
      </c>
    </row>
    <row r="48" spans="1:26" x14ac:dyDescent="0.25">
      <c r="A48" t="str">
        <f>IF(Machine!H11="Hide","",Machine!F11)</f>
        <v>OTDS Developed Limit of 20%</v>
      </c>
      <c r="B48" s="51">
        <f>IF(Machine!$H$11="Hide","",VLOOKUP(Machine!$F$8,'Machine Calculations'!$A$8:$B$12,2,FALSE))</f>
        <v>14584545984.156548</v>
      </c>
      <c r="C48" s="51">
        <f>IF(Machine!$H$11="Hide","",VLOOKUP(Machine!$F$8,'Machine Calculations'!$A$8:$B$12,2,FALSE))</f>
        <v>14584545984.156548</v>
      </c>
      <c r="D48" s="51">
        <f>IF(Machine!$H$11="Hide","",VLOOKUP(Machine!$F$8,'Machine Calculations'!$A$8:$B$12,2,FALSE))</f>
        <v>14584545984.156548</v>
      </c>
      <c r="E48" s="51">
        <f>IF(Machine!$H$11="Hide","",VLOOKUP(Machine!$F$8,'Machine Calculations'!$A$8:$B$12,2,FALSE))</f>
        <v>14584545984.156548</v>
      </c>
      <c r="F48" s="51">
        <f>IF(Machine!$H$11="Hide","",VLOOKUP(Machine!$F$8,'Machine Calculations'!$A$8:$B$12,2,FALSE))</f>
        <v>14584545984.156548</v>
      </c>
      <c r="G48" s="51">
        <f>IF(Machine!$H$11="Hide","",VLOOKUP(Machine!$F$8,'Machine Calculations'!$A$8:$B$12,2,FALSE))</f>
        <v>14584545984.156548</v>
      </c>
      <c r="H48" s="51">
        <f>IF(Machine!$H$11="Hide","",VLOOKUP(Machine!$F$8,'Machine Calculations'!$A$8:$B$12,2,FALSE))</f>
        <v>14584545984.156548</v>
      </c>
      <c r="I48" s="51">
        <f>IF(Machine!$H$11="Hide","",VLOOKUP(Machine!$F$8,'Machine Calculations'!$A$8:$B$12,2,FALSE))</f>
        <v>14584545984.156548</v>
      </c>
      <c r="J48" s="51">
        <f>IF(Machine!$H$11="Hide","",VLOOKUP(Machine!$F$8,'Machine Calculations'!$A$8:$B$12,2,FALSE))</f>
        <v>14584545984.156548</v>
      </c>
      <c r="K48" s="51">
        <f>IF(Machine!$H$11="Hide","",VLOOKUP(Machine!$F$8,'Machine Calculations'!$A$8:$B$12,2,FALSE))</f>
        <v>14584545984.156548</v>
      </c>
      <c r="L48" s="51">
        <f>IF(Machine!$H$11="Hide","",VLOOKUP(Machine!$F$8,'Machine Calculations'!$A$8:$B$12,2,FALSE))</f>
        <v>14584545984.156548</v>
      </c>
      <c r="M48" s="51">
        <f>IF(Machine!$H$11="Hide","",VLOOKUP(Machine!$F$8,'Machine Calculations'!$A$8:$B$12,2,FALSE))</f>
        <v>14584545984.156548</v>
      </c>
      <c r="N48" s="51">
        <f>IF(Machine!$H$11="Hide","",VLOOKUP(Machine!$F$8,'Machine Calculations'!$A$8:$B$12,2,FALSE))</f>
        <v>14584545984.156548</v>
      </c>
      <c r="O48" s="51">
        <f>IF(Machine!$H$11="Hide","",VLOOKUP(Machine!$F$8,'Machine Calculations'!$A$8:$B$12,2,FALSE))</f>
        <v>14584545984.156548</v>
      </c>
      <c r="P48" s="51">
        <f>IF(Machine!$H$11="Hide","",VLOOKUP(Machine!$F$8,'Machine Calculations'!$A$8:$B$12,2,FALSE))</f>
        <v>14584545984.156548</v>
      </c>
      <c r="Q48" s="51">
        <f>IF(Machine!$H$11="Hide","",VLOOKUP(Machine!$F$8,'Machine Calculations'!$A$8:$B$12,2,FALSE))</f>
        <v>14584545984.156548</v>
      </c>
      <c r="R48" s="51">
        <f>IF(Machine!$H$11="Hide","",VLOOKUP(Machine!$F$8,'Machine Calculations'!$A$8:$B$12,2,FALSE))</f>
        <v>14584545984.156548</v>
      </c>
      <c r="S48" s="51">
        <f>IF(Machine!$H$11="Hide","",VLOOKUP(Machine!$F$8,'Machine Calculations'!$A$8:$B$12,2,FALSE))</f>
        <v>14584545984.156548</v>
      </c>
      <c r="T48" s="51">
        <f>IF(Machine!$H$11="Hide","",VLOOKUP(Machine!$F$8,'Machine Calculations'!$A$8:$B$12,2,FALSE))</f>
        <v>14584545984.156548</v>
      </c>
      <c r="U48" s="51">
        <f>IF(Machine!$H$11="Hide","",VLOOKUP(Machine!$F$8,'Machine Calculations'!$A$8:$B$12,2,FALSE))</f>
        <v>14584545984.156548</v>
      </c>
      <c r="V48" s="51">
        <f>IF(Machine!$H$11="Hide","",VLOOKUP(Machine!$F$8,'Machine Calculations'!$A$8:$B$12,2,FALSE))</f>
        <v>14584545984.156548</v>
      </c>
      <c r="W48" s="51">
        <f>IF(Machine!$H$11="Hide","",VLOOKUP(Machine!$F$8,'Machine Calculations'!$A$8:$B$12,2,FALSE))</f>
        <v>14584545984.156548</v>
      </c>
      <c r="X48" s="51">
        <f>IF(Machine!$H$11="Hide","",VLOOKUP(Machine!$F$8,'Machine Calculations'!$A$8:$B$12,2,FALSE))</f>
        <v>14584545984.156548</v>
      </c>
      <c r="Y48" s="51">
        <f>IF(Machine!$H$11="Hide","",VLOOKUP(Machine!$F$8,'Machine Calculations'!$A$8:$B$12,2,FALSE))</f>
        <v>14584545984.156548</v>
      </c>
      <c r="Z48" s="51">
        <f>IF(Machine!$H$11="Hide","",VLOOKUP(Machine!$F$8,'Machine Calculations'!$A$8:$B$12,2,FALSE))</f>
        <v>14584545984.156548</v>
      </c>
    </row>
    <row r="49" spans="1:26" x14ac:dyDescent="0.25">
      <c r="A49" t="str">
        <f>IF(Machine!H12="Hide","",Machine!F12)</f>
        <v/>
      </c>
      <c r="B49" s="86" t="str">
        <f>IF($A$49="","",IF(B71&lt;0,0,B71))</f>
        <v/>
      </c>
      <c r="C49" s="86" t="str">
        <f t="shared" ref="C49:Z49" si="13">IF($A$49="","",IF(C71&lt;0,0,C71))</f>
        <v/>
      </c>
      <c r="D49" s="86" t="str">
        <f t="shared" si="13"/>
        <v/>
      </c>
      <c r="E49" s="86" t="str">
        <f t="shared" si="13"/>
        <v/>
      </c>
      <c r="F49" s="86" t="str">
        <f t="shared" si="13"/>
        <v/>
      </c>
      <c r="G49" s="86" t="str">
        <f t="shared" si="13"/>
        <v/>
      </c>
      <c r="H49" s="86" t="str">
        <f t="shared" si="13"/>
        <v/>
      </c>
      <c r="I49" s="86" t="str">
        <f t="shared" si="13"/>
        <v/>
      </c>
      <c r="J49" s="86" t="str">
        <f t="shared" si="13"/>
        <v/>
      </c>
      <c r="K49" s="86" t="str">
        <f t="shared" si="13"/>
        <v/>
      </c>
      <c r="L49" s="86" t="str">
        <f t="shared" si="13"/>
        <v/>
      </c>
      <c r="M49" s="86" t="str">
        <f t="shared" si="13"/>
        <v/>
      </c>
      <c r="N49" s="86" t="str">
        <f t="shared" si="13"/>
        <v/>
      </c>
      <c r="O49" s="86" t="str">
        <f t="shared" si="13"/>
        <v/>
      </c>
      <c r="P49" s="86" t="str">
        <f t="shared" si="13"/>
        <v/>
      </c>
      <c r="Q49" s="86" t="str">
        <f t="shared" si="13"/>
        <v/>
      </c>
      <c r="R49" s="86" t="str">
        <f t="shared" si="13"/>
        <v/>
      </c>
      <c r="S49" s="86" t="str">
        <f t="shared" si="13"/>
        <v/>
      </c>
      <c r="T49" s="86" t="str">
        <f t="shared" si="13"/>
        <v/>
      </c>
      <c r="U49" s="86" t="str">
        <f t="shared" si="13"/>
        <v/>
      </c>
      <c r="V49" s="86" t="str">
        <f t="shared" si="13"/>
        <v/>
      </c>
      <c r="W49" s="86" t="str">
        <f t="shared" si="13"/>
        <v/>
      </c>
      <c r="X49" s="86" t="str">
        <f t="shared" si="13"/>
        <v/>
      </c>
      <c r="Y49" s="86" t="str">
        <f t="shared" si="13"/>
        <v/>
      </c>
      <c r="Z49" s="86" t="str">
        <f t="shared" si="13"/>
        <v/>
      </c>
    </row>
    <row r="51" spans="1:26" x14ac:dyDescent="0.25">
      <c r="A51" s="203" t="s">
        <v>422</v>
      </c>
      <c r="B51" s="203"/>
      <c r="C51" s="203"/>
    </row>
    <row r="52" spans="1:26" x14ac:dyDescent="0.25">
      <c r="A52" t="s">
        <v>161</v>
      </c>
      <c r="B52">
        <v>2006</v>
      </c>
      <c r="C52">
        <v>2007</v>
      </c>
      <c r="D52">
        <v>2008</v>
      </c>
      <c r="E52">
        <v>2009</v>
      </c>
      <c r="F52">
        <v>2010</v>
      </c>
      <c r="G52">
        <v>2011</v>
      </c>
      <c r="H52">
        <v>2012</v>
      </c>
      <c r="I52">
        <v>2013</v>
      </c>
      <c r="J52">
        <v>2014</v>
      </c>
      <c r="K52">
        <v>2015</v>
      </c>
      <c r="L52">
        <v>2016</v>
      </c>
      <c r="M52">
        <v>2017</v>
      </c>
      <c r="N52">
        <v>2018</v>
      </c>
      <c r="O52">
        <v>2019</v>
      </c>
      <c r="P52">
        <v>2020</v>
      </c>
      <c r="Q52">
        <v>2021</v>
      </c>
      <c r="R52">
        <v>2022</v>
      </c>
      <c r="S52">
        <v>2023</v>
      </c>
      <c r="T52">
        <v>2024</v>
      </c>
      <c r="U52">
        <v>2025</v>
      </c>
      <c r="V52">
        <v>2026</v>
      </c>
      <c r="W52">
        <v>2027</v>
      </c>
      <c r="X52">
        <v>2028</v>
      </c>
      <c r="Y52">
        <v>2029</v>
      </c>
      <c r="Z52">
        <v>2030</v>
      </c>
    </row>
    <row r="53" spans="1:26" x14ac:dyDescent="0.25">
      <c r="A53" t="str">
        <f>A39</f>
        <v>Japan</v>
      </c>
      <c r="B53" s="51">
        <f>IF($A53="","",VLOOKUP($A53,VoP,'Machine Calculations'!B$52-2004,FALSE)*(IF(Machine!$C$29="%+",'Machine Calculations'!$E39+Machine!$D$29/50,'Machine Calculations'!$E39-Machine!$D$29/50)))</f>
        <v>6086414000</v>
      </c>
      <c r="C53" s="51">
        <f>IF($A53="","",VLOOKUP($A53,VoP,'Machine Calculations'!C$52-2004,FALSE)*(IF(Machine!$C$29="%+",'Machine Calculations'!$E39+Machine!$D$29/50,'Machine Calculations'!$E39-Machine!$D$29/50)))</f>
        <v>5842038000</v>
      </c>
      <c r="D53" s="51">
        <f>IF($A53="","",VLOOKUP($A53,VoP,'Machine Calculations'!D$52-2004,FALSE)*(IF(Machine!$C$29="%+",'Machine Calculations'!$E39+Machine!$D$29/50,'Machine Calculations'!$E39-Machine!$D$29/50)))</f>
        <v>6690558000</v>
      </c>
      <c r="E53" s="51">
        <f>IF($A53="","",VLOOKUP($A53,VoP,'Machine Calculations'!E$52-2004,FALSE)*(IF(Machine!$C$29="%+",'Machine Calculations'!$E39+Machine!$D$29/50,'Machine Calculations'!$E39-Machine!$D$29/50)))</f>
        <v>7173172000</v>
      </c>
      <c r="F53" s="51">
        <f>IF($A53="","",VLOOKUP($A53,VoP,'Machine Calculations'!F$52-2004,FALSE)*(IF(Machine!$C$29="%+",'Machine Calculations'!$E39+Machine!$D$29/50,'Machine Calculations'!$E39-Machine!$D$29/50)))</f>
        <v>7769369000</v>
      </c>
      <c r="G53" s="51">
        <f>IF($A53="","",VLOOKUP($A53,VoP,'Machine Calculations'!G$52-2004,FALSE)*(IF(Machine!$C$29="%+",'Machine Calculations'!$E39+Machine!$D$29/50,'Machine Calculations'!$E39-Machine!$D$29/50)))</f>
        <v>8194013000</v>
      </c>
      <c r="H53" s="51">
        <f>IF($A53="","",VLOOKUP($A53,VoP,'Machine Calculations'!H$52-2004,FALSE)*(IF(Machine!$C$29="%+",'Machine Calculations'!$E39+Machine!$D$29/50,'Machine Calculations'!$E39-Machine!$D$29/50)))</f>
        <v>8694008000</v>
      </c>
      <c r="I53" s="51">
        <f>IF($A53="","",VLOOKUP($A53,VoP,'Machine Calculations'!I$52-2004,FALSE)*(IF(Machine!$C$29="%+",'Machine Calculations'!$E39+Machine!$D$29/50,'Machine Calculations'!$E39-Machine!$D$29/50)))</f>
        <v>7114743000</v>
      </c>
      <c r="J53" s="51">
        <f>IF($A53="","",VLOOKUP($A53,VoP,'Machine Calculations'!J$52-2004,FALSE)*(IF(Machine!$C$29="%+",'Machine Calculations'!$E39+Machine!$D$29/50,'Machine Calculations'!$E39-Machine!$D$29/50)))</f>
        <v>7328185290</v>
      </c>
      <c r="K53" s="51">
        <f>IF($A53="","",VLOOKUP($A53,VoP,'Machine Calculations'!K$52-2004,FALSE)*(IF(Machine!$C$29="%+",'Machine Calculations'!$E39+Machine!$D$29/50,'Machine Calculations'!$E39-Machine!$D$29/50)))</f>
        <v>7548030848.7000008</v>
      </c>
      <c r="L53" s="51">
        <f>IF($A53="","",VLOOKUP($A53,VoP,'Machine Calculations'!L$52-2004,FALSE)*(IF(Machine!$C$29="%+",'Machine Calculations'!$E39+Machine!$D$29/50,'Machine Calculations'!$E39-Machine!$D$29/50)))</f>
        <v>7774471774.1610003</v>
      </c>
      <c r="M53" s="51">
        <f>IF($A53="","",VLOOKUP($A53,VoP,'Machine Calculations'!M$52-2004,FALSE)*(IF(Machine!$C$29="%+",'Machine Calculations'!$E39+Machine!$D$29/50,'Machine Calculations'!$E39-Machine!$D$29/50)))</f>
        <v>8007705927.3858309</v>
      </c>
      <c r="N53" s="51">
        <f>IF($A53="","",VLOOKUP($A53,VoP,'Machine Calculations'!N$52-2004,FALSE)*(IF(Machine!$C$29="%+",'Machine Calculations'!$E39+Machine!$D$29/50,'Machine Calculations'!$E39-Machine!$D$29/50)))</f>
        <v>8247937105.2074051</v>
      </c>
      <c r="O53" s="51">
        <f>IF($A53="","",VLOOKUP($A53,VoP,'Machine Calculations'!O$52-2004,FALSE)*(IF(Machine!$C$29="%+",'Machine Calculations'!$E39+Machine!$D$29/50,'Machine Calculations'!$E39-Machine!$D$29/50)))</f>
        <v>8495375218.3636284</v>
      </c>
      <c r="P53" s="51">
        <f>IF($A53="","",VLOOKUP($A53,VoP,'Machine Calculations'!P$52-2004,FALSE)*(IF(Machine!$C$29="%+",'Machine Calculations'!$E39+Machine!$D$29/50,'Machine Calculations'!$E39-Machine!$D$29/50)))</f>
        <v>8750236474.9145374</v>
      </c>
      <c r="Q53" s="51">
        <f>IF($A53="","",VLOOKUP($A53,VoP,'Machine Calculations'!Q$52-2004,FALSE)*(IF(Machine!$C$29="%+",'Machine Calculations'!$E39+Machine!$D$29/50,'Machine Calculations'!$E39-Machine!$D$29/50)))</f>
        <v>9012743569.161974</v>
      </c>
      <c r="R53" s="51">
        <f>IF($A53="","",VLOOKUP($A53,VoP,'Machine Calculations'!R$52-2004,FALSE)*(IF(Machine!$C$29="%+",'Machine Calculations'!$E39+Machine!$D$29/50,'Machine Calculations'!$E39-Machine!$D$29/50)))</f>
        <v>9283125876.2368336</v>
      </c>
      <c r="S53" s="51">
        <f>IF($A53="","",VLOOKUP($A53,VoP,'Machine Calculations'!S$52-2004,FALSE)*(IF(Machine!$C$29="%+",'Machine Calculations'!$E39+Machine!$D$29/50,'Machine Calculations'!$E39-Machine!$D$29/50)))</f>
        <v>9561619652.5239391</v>
      </c>
      <c r="T53" s="51">
        <f>IF($A53="","",VLOOKUP($A53,VoP,'Machine Calculations'!T$52-2004,FALSE)*(IF(Machine!$C$29="%+",'Machine Calculations'!$E39+Machine!$D$29/50,'Machine Calculations'!$E39-Machine!$D$29/50)))</f>
        <v>9848468242.0996571</v>
      </c>
      <c r="U53" s="51">
        <f>IF($A53="","",VLOOKUP($A53,VoP,'Machine Calculations'!U$52-2004,FALSE)*(IF(Machine!$C$29="%+",'Machine Calculations'!$E39+Machine!$D$29/50,'Machine Calculations'!$E39-Machine!$D$29/50)))</f>
        <v>10143922289.362646</v>
      </c>
      <c r="V53" s="51">
        <f>IF($A53="","",VLOOKUP($A53,VoP,'Machine Calculations'!V$52-2004,FALSE)*(IF(Machine!$C$29="%+",'Machine Calculations'!$E39+Machine!$D$29/50,'Machine Calculations'!$E39-Machine!$D$29/50)))</f>
        <v>10448239958.043526</v>
      </c>
      <c r="W53" s="51">
        <f>IF($A53="","",VLOOKUP($A53,VoP,'Machine Calculations'!W$52-2004,FALSE)*(IF(Machine!$C$29="%+",'Machine Calculations'!$E39+Machine!$D$29/50,'Machine Calculations'!$E39-Machine!$D$29/50)))</f>
        <v>10761687156.784832</v>
      </c>
      <c r="X53" s="51">
        <f>IF($A53="","",VLOOKUP($A53,VoP,'Machine Calculations'!X$52-2004,FALSE)*(IF(Machine!$C$29="%+",'Machine Calculations'!$E39+Machine!$D$29/50,'Machine Calculations'!$E39-Machine!$D$29/50)))</f>
        <v>11084537771.488377</v>
      </c>
      <c r="Y53" s="51">
        <f>IF($A53="","",VLOOKUP($A53,VoP,'Machine Calculations'!Y$52-2004,FALSE)*(IF(Machine!$C$29="%+",'Machine Calculations'!$E39+Machine!$D$29/50,'Machine Calculations'!$E39-Machine!$D$29/50)))</f>
        <v>11417073904.633028</v>
      </c>
      <c r="Z53" s="51">
        <f>IF($A53="","",VLOOKUP($A53,VoP,'Machine Calculations'!Z$52-2004,FALSE)*(IF(Machine!$C$29="%+",'Machine Calculations'!$E39+Machine!$D$29/50,'Machine Calculations'!$E39-Machine!$D$29/50)))</f>
        <v>11759586121.772018</v>
      </c>
    </row>
    <row r="54" spans="1:26" x14ac:dyDescent="0.25">
      <c r="A54" t="str">
        <f>A40</f>
        <v/>
      </c>
      <c r="B54" s="51" t="str">
        <f>IF($A54="","",VLOOKUP($A54,VoP,'Machine Calculations'!B$52-2004,FALSE)*(IF(Machine!$C$29="%+",'Machine Calculations'!$E40+Machine!$D$29/50,'Machine Calculations'!$E40-Machine!$D$29/50)))</f>
        <v/>
      </c>
      <c r="C54" s="51" t="str">
        <f>IF($A54="","",VLOOKUP($A54,VoP,'Machine Calculations'!C$52-2004,FALSE)*(IF(Machine!$C$29="%+",'Machine Calculations'!$E40+Machine!$D$29/50,'Machine Calculations'!$E40-Machine!$D$29/50)))</f>
        <v/>
      </c>
      <c r="D54" s="51" t="str">
        <f>IF($A54="","",VLOOKUP($A54,VoP,'Machine Calculations'!D$52-2004,FALSE)*(IF(Machine!$C$29="%+",'Machine Calculations'!$E40+Machine!$D$29/50,'Machine Calculations'!$E40-Machine!$D$29/50)))</f>
        <v/>
      </c>
      <c r="E54" s="51" t="str">
        <f>IF($A54="","",VLOOKUP($A54,VoP,'Machine Calculations'!E$52-2004,FALSE)*(IF(Machine!$C$29="%+",'Machine Calculations'!$E40+Machine!$D$29/50,'Machine Calculations'!$E40-Machine!$D$29/50)))</f>
        <v/>
      </c>
      <c r="F54" s="51" t="str">
        <f>IF($A54="","",VLOOKUP($A54,VoP,'Machine Calculations'!F$52-2004,FALSE)*(IF(Machine!$C$29="%+",'Machine Calculations'!$E40+Machine!$D$29/50,'Machine Calculations'!$E40-Machine!$D$29/50)))</f>
        <v/>
      </c>
      <c r="G54" s="51" t="str">
        <f>IF($A54="","",VLOOKUP($A54,VoP,'Machine Calculations'!G$52-2004,FALSE)*(IF(Machine!$C$29="%+",'Machine Calculations'!$E40+Machine!$D$29/50,'Machine Calculations'!$E40-Machine!$D$29/50)))</f>
        <v/>
      </c>
      <c r="H54" s="51" t="str">
        <f>IF($A54="","",VLOOKUP($A54,VoP,'Machine Calculations'!H$52-2004,FALSE)*(IF(Machine!$C$29="%+",'Machine Calculations'!$E40+Machine!$D$29/50,'Machine Calculations'!$E40-Machine!$D$29/50)))</f>
        <v/>
      </c>
      <c r="I54" s="51" t="str">
        <f>IF($A54="","",VLOOKUP($A54,VoP,'Machine Calculations'!I$52-2004,FALSE)*(IF(Machine!$C$29="%+",'Machine Calculations'!$E40+Machine!$D$29/50,'Machine Calculations'!$E40-Machine!$D$29/50)))</f>
        <v/>
      </c>
      <c r="J54" s="51" t="str">
        <f>IF($A54="","",VLOOKUP($A54,VoP,'Machine Calculations'!J$52-2004,FALSE)*(IF(Machine!$C$29="%+",'Machine Calculations'!$E40+Machine!$D$29/50,'Machine Calculations'!$E40-Machine!$D$29/50)))</f>
        <v/>
      </c>
      <c r="K54" s="51" t="str">
        <f>IF($A54="","",VLOOKUP($A54,VoP,'Machine Calculations'!K$52-2004,FALSE)*(IF(Machine!$C$29="%+",'Machine Calculations'!$E40+Machine!$D$29/50,'Machine Calculations'!$E40-Machine!$D$29/50)))</f>
        <v/>
      </c>
      <c r="L54" s="51" t="str">
        <f>IF($A54="","",VLOOKUP($A54,VoP,'Machine Calculations'!L$52-2004,FALSE)*(IF(Machine!$C$29="%+",'Machine Calculations'!$E40+Machine!$D$29/50,'Machine Calculations'!$E40-Machine!$D$29/50)))</f>
        <v/>
      </c>
      <c r="M54" s="51" t="str">
        <f>IF($A54="","",VLOOKUP($A54,VoP,'Machine Calculations'!M$52-2004,FALSE)*(IF(Machine!$C$29="%+",'Machine Calculations'!$E40+Machine!$D$29/50,'Machine Calculations'!$E40-Machine!$D$29/50)))</f>
        <v/>
      </c>
      <c r="N54" s="51" t="str">
        <f>IF($A54="","",VLOOKUP($A54,VoP,'Machine Calculations'!N$52-2004,FALSE)*(IF(Machine!$C$29="%+",'Machine Calculations'!$E40+Machine!$D$29/50,'Machine Calculations'!$E40-Machine!$D$29/50)))</f>
        <v/>
      </c>
      <c r="O54" s="51" t="str">
        <f>IF($A54="","",VLOOKUP($A54,VoP,'Machine Calculations'!O$52-2004,FALSE)*(IF(Machine!$C$29="%+",'Machine Calculations'!$E40+Machine!$D$29/50,'Machine Calculations'!$E40-Machine!$D$29/50)))</f>
        <v/>
      </c>
      <c r="P54" s="51" t="str">
        <f>IF($A54="","",VLOOKUP($A54,VoP,'Machine Calculations'!P$52-2004,FALSE)*(IF(Machine!$C$29="%+",'Machine Calculations'!$E40+Machine!$D$29/50,'Machine Calculations'!$E40-Machine!$D$29/50)))</f>
        <v/>
      </c>
      <c r="Q54" s="51" t="str">
        <f>IF($A54="","",VLOOKUP($A54,VoP,'Machine Calculations'!Q$52-2004,FALSE)*(IF(Machine!$C$29="%+",'Machine Calculations'!$E40+Machine!$D$29/50,'Machine Calculations'!$E40-Machine!$D$29/50)))</f>
        <v/>
      </c>
      <c r="R54" s="51" t="str">
        <f>IF($A54="","",VLOOKUP($A54,VoP,'Machine Calculations'!R$52-2004,FALSE)*(IF(Machine!$C$29="%+",'Machine Calculations'!$E40+Machine!$D$29/50,'Machine Calculations'!$E40-Machine!$D$29/50)))</f>
        <v/>
      </c>
      <c r="S54" s="51" t="str">
        <f>IF($A54="","",VLOOKUP($A54,VoP,'Machine Calculations'!S$52-2004,FALSE)*(IF(Machine!$C$29="%+",'Machine Calculations'!$E40+Machine!$D$29/50,'Machine Calculations'!$E40-Machine!$D$29/50)))</f>
        <v/>
      </c>
      <c r="T54" s="51" t="str">
        <f>IF($A54="","",VLOOKUP($A54,VoP,'Machine Calculations'!T$52-2004,FALSE)*(IF(Machine!$C$29="%+",'Machine Calculations'!$E40+Machine!$D$29/50,'Machine Calculations'!$E40-Machine!$D$29/50)))</f>
        <v/>
      </c>
      <c r="U54" s="51" t="str">
        <f>IF($A54="","",VLOOKUP($A54,VoP,'Machine Calculations'!U$52-2004,FALSE)*(IF(Machine!$C$29="%+",'Machine Calculations'!$E40+Machine!$D$29/50,'Machine Calculations'!$E40-Machine!$D$29/50)))</f>
        <v/>
      </c>
      <c r="V54" s="51" t="str">
        <f>IF($A54="","",VLOOKUP($A54,VoP,'Machine Calculations'!V$52-2004,FALSE)*(IF(Machine!$C$29="%+",'Machine Calculations'!$E40+Machine!$D$29/50,'Machine Calculations'!$E40-Machine!$D$29/50)))</f>
        <v/>
      </c>
      <c r="W54" s="51" t="str">
        <f>IF($A54="","",VLOOKUP($A54,VoP,'Machine Calculations'!W$52-2004,FALSE)*(IF(Machine!$C$29="%+",'Machine Calculations'!$E40+Machine!$D$29/50,'Machine Calculations'!$E40-Machine!$D$29/50)))</f>
        <v/>
      </c>
      <c r="X54" s="51" t="str">
        <f>IF($A54="","",VLOOKUP($A54,VoP,'Machine Calculations'!X$52-2004,FALSE)*(IF(Machine!$C$29="%+",'Machine Calculations'!$E40+Machine!$D$29/50,'Machine Calculations'!$E40-Machine!$D$29/50)))</f>
        <v/>
      </c>
      <c r="Y54" s="51" t="str">
        <f>IF($A54="","",VLOOKUP($A54,VoP,'Machine Calculations'!Y$52-2004,FALSE)*(IF(Machine!$C$29="%+",'Machine Calculations'!$E40+Machine!$D$29/50,'Machine Calculations'!$E40-Machine!$D$29/50)))</f>
        <v/>
      </c>
      <c r="Z54" s="51" t="str">
        <f>IF($A54="","",VLOOKUP($A54,VoP,'Machine Calculations'!Z$52-2004,FALSE)*(IF(Machine!$C$29="%+",'Machine Calculations'!$E40+Machine!$D$29/50,'Machine Calculations'!$E40-Machine!$D$29/50)))</f>
        <v/>
      </c>
    </row>
    <row r="55" spans="1:26" x14ac:dyDescent="0.25">
      <c r="A55" t="str">
        <f>A41</f>
        <v/>
      </c>
      <c r="B55" s="51" t="str">
        <f>IF($A55="","",VLOOKUP($A55,VoP,'Machine Calculations'!B$52-2004,FALSE)*(IF(Machine!$C$29="%+",'Machine Calculations'!$E41+Machine!$D$29/50,'Machine Calculations'!$E41-Machine!$D$29/50)))</f>
        <v/>
      </c>
      <c r="C55" s="51" t="str">
        <f>IF($A55="","",VLOOKUP($A55,VoP,'Machine Calculations'!C$52-2004,FALSE)*(IF(Machine!$C$29="%+",'Machine Calculations'!$E41+Machine!$D$29/50,'Machine Calculations'!$E41-Machine!$D$29/50)))</f>
        <v/>
      </c>
      <c r="D55" s="51" t="str">
        <f>IF($A55="","",VLOOKUP($A55,VoP,'Machine Calculations'!D$52-2004,FALSE)*(IF(Machine!$C$29="%+",'Machine Calculations'!$E41+Machine!$D$29/50,'Machine Calculations'!$E41-Machine!$D$29/50)))</f>
        <v/>
      </c>
      <c r="E55" s="51" t="str">
        <f>IF($A55="","",VLOOKUP($A55,VoP,'Machine Calculations'!E$52-2004,FALSE)*(IF(Machine!$C$29="%+",'Machine Calculations'!$E41+Machine!$D$29/50,'Machine Calculations'!$E41-Machine!$D$29/50)))</f>
        <v/>
      </c>
      <c r="F55" s="51" t="str">
        <f>IF($A55="","",VLOOKUP($A55,VoP,'Machine Calculations'!F$52-2004,FALSE)*(IF(Machine!$C$29="%+",'Machine Calculations'!$E41+Machine!$D$29/50,'Machine Calculations'!$E41-Machine!$D$29/50)))</f>
        <v/>
      </c>
      <c r="G55" s="51" t="str">
        <f>IF($A55="","",VLOOKUP($A55,VoP,'Machine Calculations'!G$52-2004,FALSE)*(IF(Machine!$C$29="%+",'Machine Calculations'!$E41+Machine!$D$29/50,'Machine Calculations'!$E41-Machine!$D$29/50)))</f>
        <v/>
      </c>
      <c r="H55" s="51" t="str">
        <f>IF($A55="","",VLOOKUP($A55,VoP,'Machine Calculations'!H$52-2004,FALSE)*(IF(Machine!$C$29="%+",'Machine Calculations'!$E41+Machine!$D$29/50,'Machine Calculations'!$E41-Machine!$D$29/50)))</f>
        <v/>
      </c>
      <c r="I55" s="51" t="str">
        <f>IF($A55="","",VLOOKUP($A55,VoP,'Machine Calculations'!I$52-2004,FALSE)*(IF(Machine!$C$29="%+",'Machine Calculations'!$E41+Machine!$D$29/50,'Machine Calculations'!$E41-Machine!$D$29/50)))</f>
        <v/>
      </c>
      <c r="J55" s="51" t="str">
        <f>IF($A55="","",VLOOKUP($A55,VoP,'Machine Calculations'!J$52-2004,FALSE)*(IF(Machine!$C$29="%+",'Machine Calculations'!$E41+Machine!$D$29/50,'Machine Calculations'!$E41-Machine!$D$29/50)))</f>
        <v/>
      </c>
      <c r="K55" s="51" t="str">
        <f>IF($A55="","",VLOOKUP($A55,VoP,'Machine Calculations'!K$52-2004,FALSE)*(IF(Machine!$C$29="%+",'Machine Calculations'!$E41+Machine!$D$29/50,'Machine Calculations'!$E41-Machine!$D$29/50)))</f>
        <v/>
      </c>
      <c r="L55" s="51" t="str">
        <f>IF($A55="","",VLOOKUP($A55,VoP,'Machine Calculations'!L$52-2004,FALSE)*(IF(Machine!$C$29="%+",'Machine Calculations'!$E41+Machine!$D$29/50,'Machine Calculations'!$E41-Machine!$D$29/50)))</f>
        <v/>
      </c>
      <c r="M55" s="51" t="str">
        <f>IF($A55="","",VLOOKUP($A55,VoP,'Machine Calculations'!M$52-2004,FALSE)*(IF(Machine!$C$29="%+",'Machine Calculations'!$E41+Machine!$D$29/50,'Machine Calculations'!$E41-Machine!$D$29/50)))</f>
        <v/>
      </c>
      <c r="N55" s="51" t="str">
        <f>IF($A55="","",VLOOKUP($A55,VoP,'Machine Calculations'!N$52-2004,FALSE)*(IF(Machine!$C$29="%+",'Machine Calculations'!$E41+Machine!$D$29/50,'Machine Calculations'!$E41-Machine!$D$29/50)))</f>
        <v/>
      </c>
      <c r="O55" s="51" t="str">
        <f>IF($A55="","",VLOOKUP($A55,VoP,'Machine Calculations'!O$52-2004,FALSE)*(IF(Machine!$C$29="%+",'Machine Calculations'!$E41+Machine!$D$29/50,'Machine Calculations'!$E41-Machine!$D$29/50)))</f>
        <v/>
      </c>
      <c r="P55" s="51" t="str">
        <f>IF($A55="","",VLOOKUP($A55,VoP,'Machine Calculations'!P$52-2004,FALSE)*(IF(Machine!$C$29="%+",'Machine Calculations'!$E41+Machine!$D$29/50,'Machine Calculations'!$E41-Machine!$D$29/50)))</f>
        <v/>
      </c>
      <c r="Q55" s="51" t="str">
        <f>IF($A55="","",VLOOKUP($A55,VoP,'Machine Calculations'!Q$52-2004,FALSE)*(IF(Machine!$C$29="%+",'Machine Calculations'!$E41+Machine!$D$29/50,'Machine Calculations'!$E41-Machine!$D$29/50)))</f>
        <v/>
      </c>
      <c r="R55" s="51" t="str">
        <f>IF($A55="","",VLOOKUP($A55,VoP,'Machine Calculations'!R$52-2004,FALSE)*(IF(Machine!$C$29="%+",'Machine Calculations'!$E41+Machine!$D$29/50,'Machine Calculations'!$E41-Machine!$D$29/50)))</f>
        <v/>
      </c>
      <c r="S55" s="51" t="str">
        <f>IF($A55="","",VLOOKUP($A55,VoP,'Machine Calculations'!S$52-2004,FALSE)*(IF(Machine!$C$29="%+",'Machine Calculations'!$E41+Machine!$D$29/50,'Machine Calculations'!$E41-Machine!$D$29/50)))</f>
        <v/>
      </c>
      <c r="T55" s="51" t="str">
        <f>IF($A55="","",VLOOKUP($A55,VoP,'Machine Calculations'!T$52-2004,FALSE)*(IF(Machine!$C$29="%+",'Machine Calculations'!$E41+Machine!$D$29/50,'Machine Calculations'!$E41-Machine!$D$29/50)))</f>
        <v/>
      </c>
      <c r="U55" s="51" t="str">
        <f>IF($A55="","",VLOOKUP($A55,VoP,'Machine Calculations'!U$52-2004,FALSE)*(IF(Machine!$C$29="%+",'Machine Calculations'!$E41+Machine!$D$29/50,'Machine Calculations'!$E41-Machine!$D$29/50)))</f>
        <v/>
      </c>
      <c r="V55" s="51" t="str">
        <f>IF($A55="","",VLOOKUP($A55,VoP,'Machine Calculations'!V$52-2004,FALSE)*(IF(Machine!$C$29="%+",'Machine Calculations'!$E41+Machine!$D$29/50,'Machine Calculations'!$E41-Machine!$D$29/50)))</f>
        <v/>
      </c>
      <c r="W55" s="51" t="str">
        <f>IF($A55="","",VLOOKUP($A55,VoP,'Machine Calculations'!W$52-2004,FALSE)*(IF(Machine!$C$29="%+",'Machine Calculations'!$E41+Machine!$D$29/50,'Machine Calculations'!$E41-Machine!$D$29/50)))</f>
        <v/>
      </c>
      <c r="X55" s="51" t="str">
        <f>IF($A55="","",VLOOKUP($A55,VoP,'Machine Calculations'!X$52-2004,FALSE)*(IF(Machine!$C$29="%+",'Machine Calculations'!$E41+Machine!$D$29/50,'Machine Calculations'!$E41-Machine!$D$29/50)))</f>
        <v/>
      </c>
      <c r="Y55" s="51" t="str">
        <f>IF($A55="","",VLOOKUP($A55,VoP,'Machine Calculations'!Y$52-2004,FALSE)*(IF(Machine!$C$29="%+",'Machine Calculations'!$E41+Machine!$D$29/50,'Machine Calculations'!$E41-Machine!$D$29/50)))</f>
        <v/>
      </c>
      <c r="Z55" s="51" t="str">
        <f>IF($A55="","",VLOOKUP($A55,VoP,'Machine Calculations'!Z$52-2004,FALSE)*(IF(Machine!$C$29="%+",'Machine Calculations'!$E41+Machine!$D$29/50,'Machine Calculations'!$E41-Machine!$D$29/50)))</f>
        <v/>
      </c>
    </row>
    <row r="56" spans="1:26" x14ac:dyDescent="0.25">
      <c r="A56" t="str">
        <f>A42</f>
        <v/>
      </c>
      <c r="B56" s="51" t="str">
        <f>IF($A56="","",VLOOKUP($A56,VoP,'Machine Calculations'!B$52-2004,FALSE)*(IF(Machine!$C$29="%+",'Machine Calculations'!$E42+Machine!$D$29/50,'Machine Calculations'!$E42-Machine!$D$29/50)))</f>
        <v/>
      </c>
      <c r="C56" s="51" t="str">
        <f>IF($A56="","",VLOOKUP($A56,VoP,'Machine Calculations'!C$52-2004,FALSE)*(IF(Machine!$C$29="%+",'Machine Calculations'!$E42+Machine!$D$29/50,'Machine Calculations'!$E42-Machine!$D$29/50)))</f>
        <v/>
      </c>
      <c r="D56" s="51" t="str">
        <f>IF($A56="","",VLOOKUP($A56,VoP,'Machine Calculations'!D$52-2004,FALSE)*(IF(Machine!$C$29="%+",'Machine Calculations'!$E42+Machine!$D$29/50,'Machine Calculations'!$E42-Machine!$D$29/50)))</f>
        <v/>
      </c>
      <c r="E56" s="51" t="str">
        <f>IF($A56="","",VLOOKUP($A56,VoP,'Machine Calculations'!E$52-2004,FALSE)*(IF(Machine!$C$29="%+",'Machine Calculations'!$E42+Machine!$D$29/50,'Machine Calculations'!$E42-Machine!$D$29/50)))</f>
        <v/>
      </c>
      <c r="F56" s="51" t="str">
        <f>IF($A56="","",VLOOKUP($A56,VoP,'Machine Calculations'!F$52-2004,FALSE)*(IF(Machine!$C$29="%+",'Machine Calculations'!$E42+Machine!$D$29/50,'Machine Calculations'!$E42-Machine!$D$29/50)))</f>
        <v/>
      </c>
      <c r="G56" s="51" t="str">
        <f>IF($A56="","",VLOOKUP($A56,VoP,'Machine Calculations'!G$52-2004,FALSE)*(IF(Machine!$C$29="%+",'Machine Calculations'!$E42+Machine!$D$29/50,'Machine Calculations'!$E42-Machine!$D$29/50)))</f>
        <v/>
      </c>
      <c r="H56" s="51" t="str">
        <f>IF($A56="","",VLOOKUP($A56,VoP,'Machine Calculations'!H$52-2004,FALSE)*(IF(Machine!$C$29="%+",'Machine Calculations'!$E42+Machine!$D$29/50,'Machine Calculations'!$E42-Machine!$D$29/50)))</f>
        <v/>
      </c>
      <c r="I56" s="51" t="str">
        <f>IF($A56="","",VLOOKUP($A56,VoP,'Machine Calculations'!I$52-2004,FALSE)*(IF(Machine!$C$29="%+",'Machine Calculations'!$E42+Machine!$D$29/50,'Machine Calculations'!$E42-Machine!$D$29/50)))</f>
        <v/>
      </c>
      <c r="J56" s="51" t="str">
        <f>IF($A56="","",VLOOKUP($A56,VoP,'Machine Calculations'!J$52-2004,FALSE)*(IF(Machine!$C$29="%+",'Machine Calculations'!$E42+Machine!$D$29/50,'Machine Calculations'!$E42-Machine!$D$29/50)))</f>
        <v/>
      </c>
      <c r="K56" s="51" t="str">
        <f>IF($A56="","",VLOOKUP($A56,VoP,'Machine Calculations'!K$52-2004,FALSE)*(IF(Machine!$C$29="%+",'Machine Calculations'!$E42+Machine!$D$29/50,'Machine Calculations'!$E42-Machine!$D$29/50)))</f>
        <v/>
      </c>
      <c r="L56" s="51" t="str">
        <f>IF($A56="","",VLOOKUP($A56,VoP,'Machine Calculations'!L$52-2004,FALSE)*(IF(Machine!$C$29="%+",'Machine Calculations'!$E42+Machine!$D$29/50,'Machine Calculations'!$E42-Machine!$D$29/50)))</f>
        <v/>
      </c>
      <c r="M56" s="51" t="str">
        <f>IF($A56="","",VLOOKUP($A56,VoP,'Machine Calculations'!M$52-2004,FALSE)*(IF(Machine!$C$29="%+",'Machine Calculations'!$E42+Machine!$D$29/50,'Machine Calculations'!$E42-Machine!$D$29/50)))</f>
        <v/>
      </c>
      <c r="N56" s="51" t="str">
        <f>IF($A56="","",VLOOKUP($A56,VoP,'Machine Calculations'!N$52-2004,FALSE)*(IF(Machine!$C$29="%+",'Machine Calculations'!$E42+Machine!$D$29/50,'Machine Calculations'!$E42-Machine!$D$29/50)))</f>
        <v/>
      </c>
      <c r="O56" s="51" t="str">
        <f>IF($A56="","",VLOOKUP($A56,VoP,'Machine Calculations'!O$52-2004,FALSE)*(IF(Machine!$C$29="%+",'Machine Calculations'!$E42+Machine!$D$29/50,'Machine Calculations'!$E42-Machine!$D$29/50)))</f>
        <v/>
      </c>
      <c r="P56" s="51" t="str">
        <f>IF($A56="","",VLOOKUP($A56,VoP,'Machine Calculations'!P$52-2004,FALSE)*(IF(Machine!$C$29="%+",'Machine Calculations'!$E42+Machine!$D$29/50,'Machine Calculations'!$E42-Machine!$D$29/50)))</f>
        <v/>
      </c>
      <c r="Q56" s="51" t="str">
        <f>IF($A56="","",VLOOKUP($A56,VoP,'Machine Calculations'!Q$52-2004,FALSE)*(IF(Machine!$C$29="%+",'Machine Calculations'!$E42+Machine!$D$29/50,'Machine Calculations'!$E42-Machine!$D$29/50)))</f>
        <v/>
      </c>
      <c r="R56" s="51" t="str">
        <f>IF($A56="","",VLOOKUP($A56,VoP,'Machine Calculations'!R$52-2004,FALSE)*(IF(Machine!$C$29="%+",'Machine Calculations'!$E42+Machine!$D$29/50,'Machine Calculations'!$E42-Machine!$D$29/50)))</f>
        <v/>
      </c>
      <c r="S56" s="51" t="str">
        <f>IF($A56="","",VLOOKUP($A56,VoP,'Machine Calculations'!S$52-2004,FALSE)*(IF(Machine!$C$29="%+",'Machine Calculations'!$E42+Machine!$D$29/50,'Machine Calculations'!$E42-Machine!$D$29/50)))</f>
        <v/>
      </c>
      <c r="T56" s="51" t="str">
        <f>IF($A56="","",VLOOKUP($A56,VoP,'Machine Calculations'!T$52-2004,FALSE)*(IF(Machine!$C$29="%+",'Machine Calculations'!$E42+Machine!$D$29/50,'Machine Calculations'!$E42-Machine!$D$29/50)))</f>
        <v/>
      </c>
      <c r="U56" s="51" t="str">
        <f>IF($A56="","",VLOOKUP($A56,VoP,'Machine Calculations'!U$52-2004,FALSE)*(IF(Machine!$C$29="%+",'Machine Calculations'!$E42+Machine!$D$29/50,'Machine Calculations'!$E42-Machine!$D$29/50)))</f>
        <v/>
      </c>
      <c r="V56" s="51" t="str">
        <f>IF($A56="","",VLOOKUP($A56,VoP,'Machine Calculations'!V$52-2004,FALSE)*(IF(Machine!$C$29="%+",'Machine Calculations'!$E42+Machine!$D$29/50,'Machine Calculations'!$E42-Machine!$D$29/50)))</f>
        <v/>
      </c>
      <c r="W56" s="51" t="str">
        <f>IF($A56="","",VLOOKUP($A56,VoP,'Machine Calculations'!W$52-2004,FALSE)*(IF(Machine!$C$29="%+",'Machine Calculations'!$E42+Machine!$D$29/50,'Machine Calculations'!$E42-Machine!$D$29/50)))</f>
        <v/>
      </c>
      <c r="X56" s="51" t="str">
        <f>IF($A56="","",VLOOKUP($A56,VoP,'Machine Calculations'!X$52-2004,FALSE)*(IF(Machine!$C$29="%+",'Machine Calculations'!$E42+Machine!$D$29/50,'Machine Calculations'!$E42-Machine!$D$29/50)))</f>
        <v/>
      </c>
      <c r="Y56" s="51" t="str">
        <f>IF($A56="","",VLOOKUP($A56,VoP,'Machine Calculations'!Y$52-2004,FALSE)*(IF(Machine!$C$29="%+",'Machine Calculations'!$E42+Machine!$D$29/50,'Machine Calculations'!$E42-Machine!$D$29/50)))</f>
        <v/>
      </c>
      <c r="Z56" s="51" t="str">
        <f>IF($A56="","",VLOOKUP($A56,VoP,'Machine Calculations'!Z$52-2004,FALSE)*(IF(Machine!$C$29="%+",'Machine Calculations'!$E42+Machine!$D$29/50,'Machine Calculations'!$E42-Machine!$D$29/50)))</f>
        <v/>
      </c>
    </row>
    <row r="58" spans="1:26" x14ac:dyDescent="0.25">
      <c r="A58" s="203" t="s">
        <v>217</v>
      </c>
      <c r="B58" s="203"/>
      <c r="C58" s="203"/>
    </row>
    <row r="59" spans="1:26" x14ac:dyDescent="0.25">
      <c r="A59" t="s">
        <v>161</v>
      </c>
      <c r="B59" t="s">
        <v>214</v>
      </c>
      <c r="C59" t="s">
        <v>215</v>
      </c>
      <c r="D59" t="s">
        <v>216</v>
      </c>
    </row>
    <row r="60" spans="1:26" x14ac:dyDescent="0.25">
      <c r="A60" t="str">
        <f>Machine!F8</f>
        <v>Japan</v>
      </c>
      <c r="B60" s="48">
        <f>IF(Machine!C29="%+",VLOOKUP(A60,A38:E42,5,FALSE)+Machine!D29*2,VLOOKUP(A60,A38:E42,5,FALSE)-Machine!D29*2)</f>
        <v>0.1</v>
      </c>
      <c r="C60" s="51">
        <f>IF(Machine!C30="m$+",VLOOKUP(A60,'Member Limits'!A1:B11,2,FALSE)+Machine!D30*1000000,VLOOKUP(A60,'Member Limits'!A1:B11,2,FALSE)-Machine!D30*1000000)</f>
        <v>40297791111.95343</v>
      </c>
    </row>
    <row r="62" spans="1:26" x14ac:dyDescent="0.25">
      <c r="A62" s="203" t="s">
        <v>218</v>
      </c>
      <c r="B62" s="203"/>
      <c r="C62" s="203"/>
    </row>
    <row r="63" spans="1:26" x14ac:dyDescent="0.25">
      <c r="A63" t="s">
        <v>161</v>
      </c>
      <c r="B63" t="s">
        <v>219</v>
      </c>
      <c r="C63" t="s">
        <v>220</v>
      </c>
    </row>
    <row r="64" spans="1:26" x14ac:dyDescent="0.25">
      <c r="A64" t="str">
        <f>A60</f>
        <v>Japan</v>
      </c>
      <c r="B64" s="48">
        <f>IF(B60&lt;0,0,B60)</f>
        <v>0.1</v>
      </c>
      <c r="C64" s="51">
        <f>IF(C60&lt;0,0,C60)</f>
        <v>40297791111.95343</v>
      </c>
    </row>
    <row r="65" spans="1:26" x14ac:dyDescent="0.25">
      <c r="B65" s="48"/>
      <c r="C65" s="51"/>
    </row>
    <row r="66" spans="1:26" x14ac:dyDescent="0.25">
      <c r="A66" s="203" t="s">
        <v>224</v>
      </c>
      <c r="B66" s="203"/>
      <c r="C66" s="203"/>
    </row>
    <row r="67" spans="1:26" x14ac:dyDescent="0.25">
      <c r="A67" t="s">
        <v>161</v>
      </c>
      <c r="B67">
        <v>2006</v>
      </c>
      <c r="C67">
        <v>2007</v>
      </c>
      <c r="D67">
        <v>2008</v>
      </c>
      <c r="E67">
        <v>2009</v>
      </c>
      <c r="F67">
        <v>2010</v>
      </c>
      <c r="G67">
        <v>2011</v>
      </c>
      <c r="H67">
        <v>2012</v>
      </c>
      <c r="I67">
        <v>2013</v>
      </c>
      <c r="J67">
        <v>2014</v>
      </c>
      <c r="K67">
        <v>2015</v>
      </c>
      <c r="L67">
        <v>2016</v>
      </c>
      <c r="M67">
        <v>2017</v>
      </c>
      <c r="N67">
        <v>2018</v>
      </c>
      <c r="O67">
        <v>2019</v>
      </c>
      <c r="P67">
        <v>2020</v>
      </c>
      <c r="Q67">
        <v>2021</v>
      </c>
      <c r="R67">
        <v>2022</v>
      </c>
      <c r="S67">
        <v>2023</v>
      </c>
      <c r="T67">
        <v>2024</v>
      </c>
      <c r="U67">
        <v>2025</v>
      </c>
      <c r="V67">
        <v>2026</v>
      </c>
      <c r="W67">
        <v>2027</v>
      </c>
      <c r="X67">
        <v>2028</v>
      </c>
      <c r="Y67">
        <v>2029</v>
      </c>
      <c r="Z67">
        <v>2030</v>
      </c>
    </row>
    <row r="68" spans="1:26" x14ac:dyDescent="0.25">
      <c r="A68" t="str">
        <f>A64</f>
        <v>Japan</v>
      </c>
      <c r="B68" s="86">
        <f>VLOOKUP(Machine!$F$8,VoP,B44-2004,FALSE)*$B$64+'Machine Calculations'!$C$64</f>
        <v>46384205111.95343</v>
      </c>
      <c r="C68" s="86">
        <f>VLOOKUP(Machine!$F$8,VoP,C44-2004,FALSE)*$B$64+'Machine Calculations'!$C$64</f>
        <v>46139829111.95343</v>
      </c>
      <c r="D68" s="86">
        <f>VLOOKUP(Machine!$F$8,VoP,D44-2004,FALSE)*$B$64+'Machine Calculations'!$C$64</f>
        <v>46988349111.95343</v>
      </c>
      <c r="E68" s="86">
        <f>VLOOKUP(Machine!$F$8,VoP,E44-2004,FALSE)*$B$64+'Machine Calculations'!$C$64</f>
        <v>47470963111.95343</v>
      </c>
      <c r="F68" s="86">
        <f>VLOOKUP(Machine!$F$8,VoP,F44-2004,FALSE)*$B$64+'Machine Calculations'!$C$64</f>
        <v>48067160111.95343</v>
      </c>
      <c r="G68" s="86">
        <f>VLOOKUP(Machine!$F$8,VoP,G44-2004,FALSE)*$B$64+'Machine Calculations'!$C$64</f>
        <v>48491804111.95343</v>
      </c>
      <c r="H68" s="86">
        <f>VLOOKUP(Machine!$F$8,VoP,H44-2004,FALSE)*$B$64+'Machine Calculations'!$C$64</f>
        <v>48991799111.95343</v>
      </c>
      <c r="I68" s="86">
        <f>VLOOKUP(Machine!$F$8,VoP,I44-2004,FALSE)*$B$64+'Machine Calculations'!$C$64</f>
        <v>47412534111.95343</v>
      </c>
      <c r="J68" s="86">
        <f>VLOOKUP(Machine!$F$8,VoP,J44-2004,FALSE)*$B$64+'Machine Calculations'!$C$64</f>
        <v>47625976401.95343</v>
      </c>
      <c r="K68" s="86">
        <f>VLOOKUP(Machine!$F$8,VoP,K44-2004,FALSE)*$B$64+'Machine Calculations'!$C$64</f>
        <v>47845821960.653427</v>
      </c>
      <c r="L68" s="86">
        <f>VLOOKUP(Machine!$F$8,VoP,L44-2004,FALSE)*$B$64+'Machine Calculations'!$C$64</f>
        <v>48072262886.114433</v>
      </c>
      <c r="M68" s="86">
        <f>VLOOKUP(Machine!$F$8,VoP,M44-2004,FALSE)*$B$64+'Machine Calculations'!$C$64</f>
        <v>48305497039.339264</v>
      </c>
      <c r="N68" s="86">
        <f>VLOOKUP(Machine!$F$8,VoP,N44-2004,FALSE)*$B$64+'Machine Calculations'!$C$64</f>
        <v>48545728217.160835</v>
      </c>
      <c r="O68" s="86">
        <f>VLOOKUP(Machine!$F$8,VoP,O44-2004,FALSE)*$B$64+'Machine Calculations'!$C$64</f>
        <v>48793166330.317062</v>
      </c>
      <c r="P68" s="86">
        <f>VLOOKUP(Machine!$F$8,VoP,P44-2004,FALSE)*$B$64+'Machine Calculations'!$C$64</f>
        <v>49048027586.867966</v>
      </c>
      <c r="Q68" s="86">
        <f>VLOOKUP(Machine!$F$8,VoP,Q44-2004,FALSE)*$B$64+'Machine Calculations'!$C$64</f>
        <v>49310534681.115402</v>
      </c>
      <c r="R68" s="86">
        <f>VLOOKUP(Machine!$F$8,VoP,R44-2004,FALSE)*$B$64+'Machine Calculations'!$C$64</f>
        <v>49580916988.190262</v>
      </c>
      <c r="S68" s="86">
        <f>VLOOKUP(Machine!$F$8,VoP,S44-2004,FALSE)*$B$64+'Machine Calculations'!$C$64</f>
        <v>49859410764.477371</v>
      </c>
      <c r="T68" s="86">
        <f>VLOOKUP(Machine!$F$8,VoP,T44-2004,FALSE)*$B$64+'Machine Calculations'!$C$64</f>
        <v>50146259354.053085</v>
      </c>
      <c r="U68" s="86">
        <f>VLOOKUP(Machine!$F$8,VoP,U44-2004,FALSE)*$B$64+'Machine Calculations'!$C$64</f>
        <v>50441713401.316078</v>
      </c>
      <c r="V68" s="86">
        <f>VLOOKUP(Machine!$F$8,VoP,V44-2004,FALSE)*$B$64+'Machine Calculations'!$C$64</f>
        <v>50746031069.996956</v>
      </c>
      <c r="W68" s="86">
        <f>VLOOKUP(Machine!$F$8,VoP,W44-2004,FALSE)*$B$64+'Machine Calculations'!$C$64</f>
        <v>51059478268.738266</v>
      </c>
      <c r="X68" s="86">
        <f>VLOOKUP(Machine!$F$8,VoP,X44-2004,FALSE)*$B$64+'Machine Calculations'!$C$64</f>
        <v>51382328883.441803</v>
      </c>
      <c r="Y68" s="86">
        <f>VLOOKUP(Machine!$F$8,VoP,Y44-2004,FALSE)*$B$64+'Machine Calculations'!$C$64</f>
        <v>51714865016.586456</v>
      </c>
      <c r="Z68" s="86">
        <f>VLOOKUP(Machine!$F$8,VoP,Z44-2004,FALSE)*$B$64+'Machine Calculations'!$C$64</f>
        <v>52057377233.725449</v>
      </c>
    </row>
    <row r="69" spans="1:26" x14ac:dyDescent="0.25">
      <c r="B69" s="51">
        <f>IF(Machine!$C$31="m$+",Machine!$D$31*1000000,IF(Machine!$C$31="m$-",Machine!$D$31*-1000000,0))</f>
        <v>0</v>
      </c>
      <c r="C69" s="51">
        <f>IF(Machine!$C$31="m$+",Machine!$D$31*1000000,IF(Machine!$C$31="m$-",Machine!$D$31*-1000000,0))</f>
        <v>0</v>
      </c>
      <c r="D69" s="51">
        <f>IF(Machine!$C$31="m$+",Machine!$D$31*1000000,IF(Machine!$C$31="m$-",Machine!$D$31*-1000000,0))</f>
        <v>0</v>
      </c>
      <c r="E69" s="51">
        <f>IF(Machine!$C$31="m$+",Machine!$D$31*1000000,IF(Machine!$C$31="m$-",Machine!$D$31*-1000000,0))</f>
        <v>0</v>
      </c>
      <c r="F69" s="51">
        <f>IF(Machine!$C$31="m$+",Machine!$D$31*1000000,IF(Machine!$C$31="m$-",Machine!$D$31*-1000000,0))</f>
        <v>0</v>
      </c>
      <c r="G69" s="51">
        <f>IF(Machine!$C$31="m$+",Machine!$D$31*1000000,IF(Machine!$C$31="m$-",Machine!$D$31*-1000000,0))</f>
        <v>0</v>
      </c>
      <c r="H69" s="51">
        <f>IF(Machine!$C$31="m$+",Machine!$D$31*1000000,IF(Machine!$C$31="m$-",Machine!$D$31*-1000000,0))</f>
        <v>0</v>
      </c>
      <c r="I69" s="51">
        <f>IF(Machine!$C$31="m$+",Machine!$D$31*1000000,IF(Machine!$C$31="m$-",Machine!$D$31*-1000000,0))</f>
        <v>0</v>
      </c>
      <c r="J69" s="51">
        <f>IF(Machine!$C$31="m$+",Machine!$D$31*1000000,IF(Machine!$C$31="m$-",Machine!$D$31*-1000000,0))</f>
        <v>0</v>
      </c>
      <c r="K69" s="51">
        <f>IF(Machine!$C$31="m$+",Machine!$D$31*1000000,IF(Machine!$C$31="m$-",Machine!$D$31*-1000000,0))</f>
        <v>0</v>
      </c>
      <c r="L69" s="51">
        <f>IF(Machine!$C$31="m$+",Machine!$D$31*1000000,IF(Machine!$C$31="m$-",Machine!$D$31*-1000000,0))</f>
        <v>0</v>
      </c>
      <c r="M69" s="51">
        <f>IF(Machine!$C$31="m$+",Machine!$D$31*1000000,IF(Machine!$C$31="m$-",Machine!$D$31*-1000000,0))</f>
        <v>0</v>
      </c>
      <c r="N69" s="51">
        <f>IF(Machine!$C$31="m$+",Machine!$D$31*1000000,IF(Machine!$C$31="m$-",Machine!$D$31*-1000000,0))</f>
        <v>0</v>
      </c>
      <c r="O69" s="51">
        <f>IF(Machine!$C$31="m$+",Machine!$D$31*1000000,IF(Machine!$C$31="m$-",Machine!$D$31*-1000000,0))</f>
        <v>0</v>
      </c>
      <c r="P69" s="51">
        <f>IF(Machine!$C$31="m$+",Machine!$D$31*1000000,IF(Machine!$C$31="m$-",Machine!$D$31*-1000000,0))</f>
        <v>0</v>
      </c>
      <c r="Q69" s="51">
        <f>IF(Machine!$C$31="m$+",Machine!$D$31*1000000,IF(Machine!$C$31="m$-",Machine!$D$31*-1000000,0))</f>
        <v>0</v>
      </c>
      <c r="R69" s="51">
        <f>IF(Machine!$C$31="m$+",Machine!$D$31*1000000,IF(Machine!$C$31="m$-",Machine!$D$31*-1000000,0))</f>
        <v>0</v>
      </c>
      <c r="S69" s="51">
        <f>IF(Machine!$C$31="m$+",Machine!$D$31*1000000,IF(Machine!$C$31="m$-",Machine!$D$31*-1000000,0))</f>
        <v>0</v>
      </c>
      <c r="T69" s="51">
        <f>IF(Machine!$C$31="m$+",Machine!$D$31*1000000,IF(Machine!$C$31="m$-",Machine!$D$31*-1000000,0))</f>
        <v>0</v>
      </c>
      <c r="U69" s="51">
        <f>IF(Machine!$C$31="m$+",Machine!$D$31*1000000,IF(Machine!$C$31="m$-",Machine!$D$31*-1000000,0))</f>
        <v>0</v>
      </c>
      <c r="V69" s="51">
        <f>IF(Machine!$C$31="m$+",Machine!$D$31*1000000,IF(Machine!$C$31="m$-",Machine!$D$31*-1000000,0))</f>
        <v>0</v>
      </c>
      <c r="W69" s="51">
        <f>IF(Machine!$C$31="m$+",Machine!$D$31*1000000,IF(Machine!$C$31="m$-",Machine!$D$31*-1000000,0))</f>
        <v>0</v>
      </c>
      <c r="X69" s="51">
        <f>IF(Machine!$C$31="m$+",Machine!$D$31*1000000,IF(Machine!$C$31="m$-",Machine!$D$31*-1000000,0))</f>
        <v>0</v>
      </c>
      <c r="Y69" s="51">
        <f>IF(Machine!$C$31="m$+",Machine!$D$31*1000000,IF(Machine!$C$31="m$-",Machine!$D$31*-1000000,0))</f>
        <v>0</v>
      </c>
      <c r="Z69" s="51">
        <f>IF(Machine!$C$31="m$+",Machine!$D$31*1000000,IF(Machine!$C$31="m$-",Machine!$D$31*-1000000,0))</f>
        <v>0</v>
      </c>
    </row>
    <row r="70" spans="1:26" x14ac:dyDescent="0.25">
      <c r="B70" s="48">
        <f>IF(Machine!$C$31="%+",Machine!$D$31/100,IF(Machine!$C$31="%-",-1*Machine!$D$31/100,0))</f>
        <v>0</v>
      </c>
      <c r="C70" s="48">
        <f>IF(Machine!$C$31="%+",Machine!$D$31/100,IF(Machine!$C$31="%-",-1*Machine!$D$31/100,0))</f>
        <v>0</v>
      </c>
      <c r="D70" s="48">
        <f>IF(Machine!$C$31="%+",Machine!$D$31/100,IF(Machine!$C$31="%-",-1*Machine!$D$31/100,0))</f>
        <v>0</v>
      </c>
      <c r="E70" s="48">
        <f>IF(Machine!$C$31="%+",Machine!$D$31/100,IF(Machine!$C$31="%-",-1*Machine!$D$31/100,0))</f>
        <v>0</v>
      </c>
      <c r="F70" s="48">
        <f>IF(Machine!$C$31="%+",Machine!$D$31/100,IF(Machine!$C$31="%-",-1*Machine!$D$31/100,0))</f>
        <v>0</v>
      </c>
      <c r="G70" s="48">
        <f>IF(Machine!$C$31="%+",Machine!$D$31/100,IF(Machine!$C$31="%-",-1*Machine!$D$31/100,0))</f>
        <v>0</v>
      </c>
      <c r="H70" s="48">
        <f>IF(Machine!$C$31="%+",Machine!$D$31/100,IF(Machine!$C$31="%-",-1*Machine!$D$31/100,0))</f>
        <v>0</v>
      </c>
      <c r="I70" s="48">
        <f>IF(Machine!$C$31="%+",Machine!$D$31/100,IF(Machine!$C$31="%-",-1*Machine!$D$31/100,0))</f>
        <v>0</v>
      </c>
      <c r="J70" s="48">
        <f>IF(Machine!$C$31="%+",Machine!$D$31/100,IF(Machine!$C$31="%-",-1*Machine!$D$31/100,0))</f>
        <v>0</v>
      </c>
      <c r="K70" s="48">
        <f>IF(Machine!$C$31="%+",Machine!$D$31/100,IF(Machine!$C$31="%-",-1*Machine!$D$31/100,0))</f>
        <v>0</v>
      </c>
      <c r="L70" s="48">
        <f>IF(Machine!$C$31="%+",Machine!$D$31/100,IF(Machine!$C$31="%-",-1*Machine!$D$31/100,0))</f>
        <v>0</v>
      </c>
      <c r="M70" s="48">
        <f>IF(Machine!$C$31="%+",Machine!$D$31/100,IF(Machine!$C$31="%-",-1*Machine!$D$31/100,0))</f>
        <v>0</v>
      </c>
      <c r="N70" s="48">
        <f>IF(Machine!$C$31="%+",Machine!$D$31/100,IF(Machine!$C$31="%-",-1*Machine!$D$31/100,0))</f>
        <v>0</v>
      </c>
      <c r="O70" s="48">
        <f>IF(Machine!$C$31="%+",Machine!$D$31/100,IF(Machine!$C$31="%-",-1*Machine!$D$31/100,0))</f>
        <v>0</v>
      </c>
      <c r="P70" s="48">
        <f>IF(Machine!$C$31="%+",Machine!$D$31/100,IF(Machine!$C$31="%-",-1*Machine!$D$31/100,0))</f>
        <v>0</v>
      </c>
      <c r="Q70" s="48">
        <f>IF(Machine!$C$31="%+",Machine!$D$31/100,IF(Machine!$C$31="%-",-1*Machine!$D$31/100,0))</f>
        <v>0</v>
      </c>
      <c r="R70" s="48">
        <f>IF(Machine!$C$31="%+",Machine!$D$31/100,IF(Machine!$C$31="%-",-1*Machine!$D$31/100,0))</f>
        <v>0</v>
      </c>
      <c r="S70" s="48">
        <f>IF(Machine!$C$31="%+",Machine!$D$31/100,IF(Machine!$C$31="%-",-1*Machine!$D$31/100,0))</f>
        <v>0</v>
      </c>
      <c r="T70" s="48">
        <f>IF(Machine!$C$31="%+",Machine!$D$31/100,IF(Machine!$C$31="%-",-1*Machine!$D$31/100,0))</f>
        <v>0</v>
      </c>
      <c r="U70" s="48">
        <f>IF(Machine!$C$31="%+",Machine!$D$31/100,IF(Machine!$C$31="%-",-1*Machine!$D$31/100,0))</f>
        <v>0</v>
      </c>
      <c r="V70" s="48">
        <f>IF(Machine!$C$31="%+",Machine!$D$31/100,IF(Machine!$C$31="%-",-1*Machine!$D$31/100,0))</f>
        <v>0</v>
      </c>
      <c r="W70" s="48">
        <f>IF(Machine!$C$31="%+",Machine!$D$31/100,IF(Machine!$C$31="%-",-1*Machine!$D$31/100,0))</f>
        <v>0</v>
      </c>
      <c r="X70" s="48">
        <f>IF(Machine!$C$31="%+",Machine!$D$31/100,IF(Machine!$C$31="%-",-1*Machine!$D$31/100,0))</f>
        <v>0</v>
      </c>
      <c r="Y70" s="48">
        <f>IF(Machine!$C$31="%+",Machine!$D$31/100,IF(Machine!$C$31="%-",-1*Machine!$D$31/100,0))</f>
        <v>0</v>
      </c>
      <c r="Z70" s="48">
        <f>IF(Machine!$C$31="%+",Machine!$D$31/100,IF(Machine!$C$31="%-",-1*Machine!$D$31/100,0))</f>
        <v>0</v>
      </c>
    </row>
    <row r="71" spans="1:26" x14ac:dyDescent="0.25">
      <c r="B71" s="86">
        <f>B68+B69+B68*B70</f>
        <v>46384205111.95343</v>
      </c>
      <c r="C71" s="86">
        <f t="shared" ref="C71:Z71" si="14">C68+C69+C68*C70</f>
        <v>46139829111.95343</v>
      </c>
      <c r="D71" s="86">
        <f t="shared" si="14"/>
        <v>46988349111.95343</v>
      </c>
      <c r="E71" s="86">
        <f t="shared" si="14"/>
        <v>47470963111.95343</v>
      </c>
      <c r="F71" s="86">
        <f t="shared" si="14"/>
        <v>48067160111.95343</v>
      </c>
      <c r="G71" s="86">
        <f t="shared" si="14"/>
        <v>48491804111.95343</v>
      </c>
      <c r="H71" s="86">
        <f t="shared" si="14"/>
        <v>48991799111.95343</v>
      </c>
      <c r="I71" s="86">
        <f t="shared" si="14"/>
        <v>47412534111.95343</v>
      </c>
      <c r="J71" s="86">
        <f t="shared" si="14"/>
        <v>47625976401.95343</v>
      </c>
      <c r="K71" s="86">
        <f t="shared" si="14"/>
        <v>47845821960.653427</v>
      </c>
      <c r="L71" s="86">
        <f t="shared" si="14"/>
        <v>48072262886.114433</v>
      </c>
      <c r="M71" s="86">
        <f t="shared" si="14"/>
        <v>48305497039.339264</v>
      </c>
      <c r="N71" s="86">
        <f t="shared" si="14"/>
        <v>48545728217.160835</v>
      </c>
      <c r="O71" s="86">
        <f t="shared" si="14"/>
        <v>48793166330.317062</v>
      </c>
      <c r="P71" s="86">
        <f t="shared" si="14"/>
        <v>49048027586.867966</v>
      </c>
      <c r="Q71" s="86">
        <f t="shared" si="14"/>
        <v>49310534681.115402</v>
      </c>
      <c r="R71" s="86">
        <f t="shared" si="14"/>
        <v>49580916988.190262</v>
      </c>
      <c r="S71" s="86">
        <f t="shared" si="14"/>
        <v>49859410764.477371</v>
      </c>
      <c r="T71" s="86">
        <f t="shared" si="14"/>
        <v>50146259354.053085</v>
      </c>
      <c r="U71" s="86">
        <f t="shared" si="14"/>
        <v>50441713401.316078</v>
      </c>
      <c r="V71" s="86">
        <f t="shared" si="14"/>
        <v>50746031069.996956</v>
      </c>
      <c r="W71" s="86">
        <f t="shared" si="14"/>
        <v>51059478268.738266</v>
      </c>
      <c r="X71" s="86">
        <f t="shared" si="14"/>
        <v>51382328883.441803</v>
      </c>
      <c r="Y71" s="86">
        <f t="shared" si="14"/>
        <v>51714865016.586456</v>
      </c>
      <c r="Z71" s="86">
        <f t="shared" si="14"/>
        <v>52057377233.725449</v>
      </c>
    </row>
    <row r="73" spans="1:26" x14ac:dyDescent="0.25">
      <c r="A73" t="s">
        <v>225</v>
      </c>
      <c r="B73" t="str">
        <f>" | Total "&amp;IF(B69+B70&gt;0,"increased","decreased")&amp;" by: "&amp;IF(B69=0,ABS(B70*100)&amp;"%",DOLLAR(ABS(B69),0))</f>
        <v xml:space="preserve"> | Total decreased by: 0%</v>
      </c>
    </row>
    <row r="77" spans="1:26" x14ac:dyDescent="0.25">
      <c r="A77" s="39" t="s">
        <v>242</v>
      </c>
    </row>
    <row r="78" spans="1:26" x14ac:dyDescent="0.25">
      <c r="B78">
        <v>2006</v>
      </c>
      <c r="C78">
        <v>2007</v>
      </c>
      <c r="D78">
        <v>2008</v>
      </c>
      <c r="E78">
        <v>2009</v>
      </c>
      <c r="F78">
        <v>2010</v>
      </c>
      <c r="G78">
        <v>2011</v>
      </c>
      <c r="H78">
        <v>2012</v>
      </c>
      <c r="I78">
        <v>2013</v>
      </c>
      <c r="J78">
        <v>2014</v>
      </c>
      <c r="K78">
        <v>2015</v>
      </c>
      <c r="L78">
        <v>2016</v>
      </c>
      <c r="M78">
        <v>2017</v>
      </c>
      <c r="N78">
        <v>2018</v>
      </c>
      <c r="O78">
        <v>2019</v>
      </c>
      <c r="P78">
        <v>2020</v>
      </c>
      <c r="Q78">
        <v>2021</v>
      </c>
      <c r="R78">
        <v>2022</v>
      </c>
      <c r="S78">
        <v>2023</v>
      </c>
      <c r="T78">
        <v>2024</v>
      </c>
      <c r="U78">
        <v>2025</v>
      </c>
      <c r="V78">
        <v>2026</v>
      </c>
      <c r="W78">
        <v>2027</v>
      </c>
      <c r="X78">
        <v>2028</v>
      </c>
      <c r="Y78">
        <v>2029</v>
      </c>
      <c r="Z78">
        <v>2030</v>
      </c>
    </row>
    <row r="79" spans="1:26" x14ac:dyDescent="0.25">
      <c r="A79" t="str">
        <f>A68</f>
        <v>Japan</v>
      </c>
      <c r="B79" s="127">
        <f>IF(Machine!$K$12="","",IF(Machine!$K$12="AMS + DM Limit",'Machine Calculations'!B86,IF(Machine!$K$12="OTDS Limit",'Machine Calculations'!B88,IF(Machine!$K$12="AoA Modified Limit",'Machine Calculations'!B71))))</f>
        <v>46384205111.95343</v>
      </c>
      <c r="C79" s="127">
        <f>IF(Machine!$K$12="","",IF(Machine!$K$12="AMS + DM Limit",'Machine Calculations'!C86,IF(Machine!$K$12="OTDS Limit",'Machine Calculations'!C88,IF(Machine!$K$12="AoA Modified Limit",'Machine Calculations'!C71))))</f>
        <v>46139829111.95343</v>
      </c>
      <c r="D79" s="127">
        <f>IF(Machine!$K$12="","",IF(Machine!$K$12="AMS + DM Limit",'Machine Calculations'!D86,IF(Machine!$K$12="OTDS Limit",'Machine Calculations'!D88,IF(Machine!$K$12="AoA Modified Limit",'Machine Calculations'!D71))))</f>
        <v>46988349111.95343</v>
      </c>
      <c r="E79" s="127">
        <f>IF(Machine!$K$12="","",IF(Machine!$K$12="AMS + DM Limit",'Machine Calculations'!E86,IF(Machine!$K$12="OTDS Limit",'Machine Calculations'!E88,IF(Machine!$K$12="AoA Modified Limit",'Machine Calculations'!E71))))</f>
        <v>47470963111.95343</v>
      </c>
      <c r="F79" s="127">
        <f>IF(Machine!$K$12="","",IF(Machine!$K$12="AMS + DM Limit",'Machine Calculations'!F86,IF(Machine!$K$12="OTDS Limit",'Machine Calculations'!F88,IF(Machine!$K$12="AoA Modified Limit",'Machine Calculations'!F71))))</f>
        <v>48067160111.95343</v>
      </c>
      <c r="G79" s="127">
        <f>IF(Machine!$K$12="","",IF(Machine!$K$12="AMS + DM Limit",'Machine Calculations'!G86,IF(Machine!$K$12="OTDS Limit",'Machine Calculations'!G88,IF(Machine!$K$12="AoA Modified Limit",'Machine Calculations'!G71))))</f>
        <v>48491804111.95343</v>
      </c>
      <c r="H79" s="127">
        <f>IF(Machine!$K$12="","",IF(Machine!$K$12="AMS + DM Limit",'Machine Calculations'!H86,IF(Machine!$K$12="OTDS Limit",'Machine Calculations'!H88,IF(Machine!$K$12="AoA Modified Limit",'Machine Calculations'!H71))))</f>
        <v>48991799111.95343</v>
      </c>
      <c r="I79" s="127">
        <f>IF(Machine!$K$12="","",IF(Machine!$K$12="AMS + DM Limit",'Machine Calculations'!I86,IF(Machine!$K$12="OTDS Limit",'Machine Calculations'!I88,IF(Machine!$K$12="AoA Modified Limit",'Machine Calculations'!I71))))</f>
        <v>47412534111.95343</v>
      </c>
      <c r="J79" s="127">
        <f>IF(Machine!$K$12="","",IF(Machine!$K$12="AMS + DM Limit",'Machine Calculations'!J86,IF(Machine!$K$12="OTDS Limit",'Machine Calculations'!J88,IF(Machine!$K$12="AoA Modified Limit",'Machine Calculations'!J71))))</f>
        <v>47625976401.95343</v>
      </c>
      <c r="K79" s="127">
        <f>IF(Machine!$K$12="","",IF(Machine!$K$12="AMS + DM Limit",'Machine Calculations'!K86,IF(Machine!$K$12="OTDS Limit",'Machine Calculations'!K88,IF(Machine!$K$12="AoA Modified Limit",'Machine Calculations'!K71))))</f>
        <v>47845821960.653427</v>
      </c>
      <c r="L79" s="127">
        <f>IF(Machine!$K$12="","",IF(Machine!$K$12="AMS + DM Limit",'Machine Calculations'!L86,IF(Machine!$K$12="OTDS Limit",'Machine Calculations'!L88,IF(Machine!$K$12="AoA Modified Limit",'Machine Calculations'!L71))))</f>
        <v>48072262886.114433</v>
      </c>
      <c r="M79" s="127">
        <f>IF(Machine!$K$12="","",IF(Machine!$K$12="AMS + DM Limit",'Machine Calculations'!M86,IF(Machine!$K$12="OTDS Limit",'Machine Calculations'!M88,IF(Machine!$K$12="AoA Modified Limit",'Machine Calculations'!M71))))</f>
        <v>48305497039.339264</v>
      </c>
      <c r="N79" s="127">
        <f>IF(Machine!$K$12="","",IF(Machine!$K$12="AMS + DM Limit",'Machine Calculations'!N86,IF(Machine!$K$12="OTDS Limit",'Machine Calculations'!N88,IF(Machine!$K$12="AoA Modified Limit",'Machine Calculations'!N71))))</f>
        <v>48545728217.160835</v>
      </c>
      <c r="O79" s="127">
        <f>IF(Machine!$K$12="","",IF(Machine!$K$12="AMS + DM Limit",'Machine Calculations'!O86,IF(Machine!$K$12="OTDS Limit",'Machine Calculations'!O88,IF(Machine!$K$12="AoA Modified Limit",'Machine Calculations'!O71))))</f>
        <v>48793166330.317062</v>
      </c>
      <c r="P79" s="127">
        <f>IF(Machine!$K$12="","",IF(Machine!$K$12="AMS + DM Limit",'Machine Calculations'!P86,IF(Machine!$K$12="OTDS Limit",'Machine Calculations'!P88,IF(Machine!$K$12="AoA Modified Limit",'Machine Calculations'!P71))))</f>
        <v>49048027586.867966</v>
      </c>
      <c r="Q79" s="127">
        <f>IF(Machine!$K$12="","",IF(Machine!$K$12="AMS + DM Limit",'Machine Calculations'!Q86,IF(Machine!$K$12="OTDS Limit",'Machine Calculations'!Q88,IF(Machine!$K$12="AoA Modified Limit",'Machine Calculations'!Q71))))</f>
        <v>49310534681.115402</v>
      </c>
      <c r="R79" s="127">
        <f>IF(Machine!$K$12="","",IF(Machine!$K$12="AMS + DM Limit",'Machine Calculations'!R86,IF(Machine!$K$12="OTDS Limit",'Machine Calculations'!R88,IF(Machine!$K$12="AoA Modified Limit",'Machine Calculations'!R71))))</f>
        <v>49580916988.190262</v>
      </c>
      <c r="S79" s="127">
        <f>IF(Machine!$K$12="","",IF(Machine!$K$12="AMS + DM Limit",'Machine Calculations'!S86,IF(Machine!$K$12="OTDS Limit",'Machine Calculations'!S88,IF(Machine!$K$12="AoA Modified Limit",'Machine Calculations'!S71))))</f>
        <v>49859410764.477371</v>
      </c>
      <c r="T79" s="127">
        <f>IF(Machine!$K$12="","",IF(Machine!$K$12="AMS + DM Limit",'Machine Calculations'!T86,IF(Machine!$K$12="OTDS Limit",'Machine Calculations'!T88,IF(Machine!$K$12="AoA Modified Limit",'Machine Calculations'!T71))))</f>
        <v>50146259354.053085</v>
      </c>
      <c r="U79" s="127">
        <f>IF(Machine!$K$12="","",IF(Machine!$K$12="AMS + DM Limit",'Machine Calculations'!U86,IF(Machine!$K$12="OTDS Limit",'Machine Calculations'!U88,IF(Machine!$K$12="AoA Modified Limit",'Machine Calculations'!U71))))</f>
        <v>50441713401.316078</v>
      </c>
      <c r="V79" s="127">
        <f>IF(Machine!$K$12="","",IF(Machine!$K$12="AMS + DM Limit",'Machine Calculations'!V86,IF(Machine!$K$12="OTDS Limit",'Machine Calculations'!V88,IF(Machine!$K$12="AoA Modified Limit",'Machine Calculations'!V71))))</f>
        <v>50746031069.996956</v>
      </c>
      <c r="W79" s="127">
        <f>IF(Machine!$K$12="","",IF(Machine!$K$12="AMS + DM Limit",'Machine Calculations'!W86,IF(Machine!$K$12="OTDS Limit",'Machine Calculations'!W88,IF(Machine!$K$12="AoA Modified Limit",'Machine Calculations'!W71))))</f>
        <v>51059478268.738266</v>
      </c>
      <c r="X79" s="127">
        <f>IF(Machine!$K$12="","",IF(Machine!$K$12="AMS + DM Limit",'Machine Calculations'!X86,IF(Machine!$K$12="OTDS Limit",'Machine Calculations'!X88,IF(Machine!$K$12="AoA Modified Limit",'Machine Calculations'!X71))))</f>
        <v>51382328883.441803</v>
      </c>
      <c r="Y79" s="127">
        <f>IF(Machine!$K$12="","",IF(Machine!$K$12="AMS + DM Limit",'Machine Calculations'!Y86,IF(Machine!$K$12="OTDS Limit",'Machine Calculations'!Y88,IF(Machine!$K$12="AoA Modified Limit",'Machine Calculations'!Y71))))</f>
        <v>51714865016.586456</v>
      </c>
      <c r="Z79" s="127">
        <f>IF(Machine!$K$12="","",IF(Machine!$K$12="AMS + DM Limit",'Machine Calculations'!Z86,IF(Machine!$K$12="OTDS Limit",'Machine Calculations'!Z88,IF(Machine!$K$12="AoA Modified Limit",'Machine Calculations'!Z71))))</f>
        <v>52057377233.725449</v>
      </c>
    </row>
    <row r="80" spans="1:26" x14ac:dyDescent="0.25">
      <c r="A80" t="str">
        <f>A79</f>
        <v>Japan</v>
      </c>
      <c r="B80" s="127">
        <f>IF(Machine!$L$12="","",IF(Machine!$L$12="Total Art. 6 Spending",'Machine Calculations'!B87,IF(Machine!$L$12="AMS + DM Spending",'Machine Calculations'!B89,IF(Machine!$L$12="OTDS Limit",'Machine Calculations'!B88,IF(Machine!$L$12="AoA Modified Limit",'Machine Calculations'!B71)))))</f>
        <v>5083599507.8195124</v>
      </c>
      <c r="C80" s="127">
        <f>IF(Machine!$L$12="","",IF(Machine!$L$12="Total Art. 6 Spending",'Machine Calculations'!C87,IF(Machine!$L$12="AMS + DM Spending",'Machine Calculations'!C89,IF(Machine!$L$12="OTDS Limit",'Machine Calculations'!C88,IF(Machine!$L$12="AoA Modified Limit",'Machine Calculations'!C71)))))</f>
        <v>4186706648.5890331</v>
      </c>
      <c r="D80" s="127">
        <f>IF(Machine!$L$12="","",IF(Machine!$L$12="Total Art. 6 Spending",'Machine Calculations'!D87,IF(Machine!$L$12="AMS + DM Spending",'Machine Calculations'!D89,IF(Machine!$L$12="OTDS Limit",'Machine Calculations'!D88,IF(Machine!$L$12="AoA Modified Limit",'Machine Calculations'!D71)))))</f>
        <v>6007172628.2564144</v>
      </c>
      <c r="E80" s="127">
        <f>IF(Machine!$L$12="","",IF(Machine!$L$12="Total Art. 6 Spending",'Machine Calculations'!E87,IF(Machine!$L$12="AMS + DM Spending",'Machine Calculations'!E89,IF(Machine!$L$12="OTDS Limit",'Machine Calculations'!E88,IF(Machine!$L$12="AoA Modified Limit",'Machine Calculations'!E71)))))</f>
        <v>7201842226.8806648</v>
      </c>
      <c r="F80" s="127">
        <f>IF(Machine!$L$12="","",IF(Machine!$L$12="Total Art. 6 Spending",'Machine Calculations'!F87,IF(Machine!$L$12="AMS + DM Spending",'Machine Calculations'!F89,IF(Machine!$L$12="OTDS Limit",'Machine Calculations'!F88,IF(Machine!$L$12="AoA Modified Limit",'Machine Calculations'!F71)))))</f>
        <v>6780707633.8730984</v>
      </c>
      <c r="G80" s="127">
        <f>IF(Machine!$L$12="","",IF(Machine!$L$12="Total Art. 6 Spending",'Machine Calculations'!G87,IF(Machine!$L$12="AMS + DM Spending",'Machine Calculations'!G89,IF(Machine!$L$12="OTDS Limit",'Machine Calculations'!G88,IF(Machine!$L$12="AoA Modified Limit",'Machine Calculations'!G71)))))</f>
        <v>8186283867.8635674</v>
      </c>
      <c r="H80" s="127">
        <f>IF(Machine!$L$12="","",IF(Machine!$L$12="Total Art. 6 Spending",'Machine Calculations'!H87,IF(Machine!$L$12="AMS + DM Spending",'Machine Calculations'!H89,IF(Machine!$L$12="OTDS Limit",'Machine Calculations'!H88,IF(Machine!$L$12="AoA Modified Limit",'Machine Calculations'!H71)))))</f>
        <v>8774838721.9846039</v>
      </c>
      <c r="I80" s="127">
        <f>IF(Machine!$L$12="","",IF(Machine!$L$12="Total Art. 6 Spending",'Machine Calculations'!I87,IF(Machine!$L$12="AMS + DM Spending",'Machine Calculations'!I89,IF(Machine!$L$12="OTDS Limit",'Machine Calculations'!I88,IF(Machine!$L$12="AoA Modified Limit",'Machine Calculations'!I71)))))</f>
        <v>9038083883.6441422</v>
      </c>
      <c r="J80" s="127">
        <f>IF(Machine!$L$12="","",IF(Machine!$L$12="Total Art. 6 Spending",'Machine Calculations'!J87,IF(Machine!$L$12="AMS + DM Spending",'Machine Calculations'!J89,IF(Machine!$L$12="OTDS Limit",'Machine Calculations'!J88,IF(Machine!$L$12="AoA Modified Limit",'Machine Calculations'!J71)))))</f>
        <v>9309226400.1534672</v>
      </c>
      <c r="K80" s="127">
        <f>IF(Machine!$L$12="","",IF(Machine!$L$12="Total Art. 6 Spending",'Machine Calculations'!K87,IF(Machine!$L$12="AMS + DM Spending",'Machine Calculations'!K89,IF(Machine!$L$12="OTDS Limit",'Machine Calculations'!K88,IF(Machine!$L$12="AoA Modified Limit",'Machine Calculations'!K71)))))</f>
        <v>9588503192.1580715</v>
      </c>
      <c r="L80" s="127">
        <f>IF(Machine!$L$12="","",IF(Machine!$L$12="Total Art. 6 Spending",'Machine Calculations'!L87,IF(Machine!$L$12="AMS + DM Spending",'Machine Calculations'!L89,IF(Machine!$L$12="OTDS Limit",'Machine Calculations'!L88,IF(Machine!$L$12="AoA Modified Limit",'Machine Calculations'!L71)))))</f>
        <v>9876158287.9228134</v>
      </c>
      <c r="M80" s="127">
        <f>IF(Machine!$L$12="","",IF(Machine!$L$12="Total Art. 6 Spending",'Machine Calculations'!M87,IF(Machine!$L$12="AMS + DM Spending",'Machine Calculations'!M89,IF(Machine!$L$12="OTDS Limit",'Machine Calculations'!M88,IF(Machine!$L$12="AoA Modified Limit",'Machine Calculations'!M71)))))</f>
        <v>10172443036.560497</v>
      </c>
      <c r="N80" s="127">
        <f>IF(Machine!$L$12="","",IF(Machine!$L$12="Total Art. 6 Spending",'Machine Calculations'!N87,IF(Machine!$L$12="AMS + DM Spending",'Machine Calculations'!N89,IF(Machine!$L$12="OTDS Limit",'Machine Calculations'!N88,IF(Machine!$L$12="AoA Modified Limit",'Machine Calculations'!N71)))))</f>
        <v>10477616327.657312</v>
      </c>
      <c r="O80" s="127">
        <f>IF(Machine!$L$12="","",IF(Machine!$L$12="Total Art. 6 Spending",'Machine Calculations'!O87,IF(Machine!$L$12="AMS + DM Spending",'Machine Calculations'!O89,IF(Machine!$L$12="OTDS Limit",'Machine Calculations'!O88,IF(Machine!$L$12="AoA Modified Limit",'Machine Calculations'!O71)))))</f>
        <v>10791944817.487032</v>
      </c>
      <c r="P80" s="127">
        <f>IF(Machine!$L$12="","",IF(Machine!$L$12="Total Art. 6 Spending",'Machine Calculations'!P87,IF(Machine!$L$12="AMS + DM Spending",'Machine Calculations'!P89,IF(Machine!$L$12="OTDS Limit",'Machine Calculations'!P88,IF(Machine!$L$12="AoA Modified Limit",'Machine Calculations'!P71)))))</f>
        <v>11115703162.011642</v>
      </c>
      <c r="Q80" s="127">
        <f>IF(Machine!$L$12="","",IF(Machine!$L$12="Total Art. 6 Spending",'Machine Calculations'!Q87,IF(Machine!$L$12="AMS + DM Spending",'Machine Calculations'!Q89,IF(Machine!$L$12="OTDS Limit",'Machine Calculations'!Q88,IF(Machine!$L$12="AoA Modified Limit",'Machine Calculations'!Q71)))))</f>
        <v>11449174256.871992</v>
      </c>
      <c r="R80" s="127">
        <f>IF(Machine!$L$12="","",IF(Machine!$L$12="Total Art. 6 Spending",'Machine Calculations'!R87,IF(Machine!$L$12="AMS + DM Spending",'Machine Calculations'!R89,IF(Machine!$L$12="OTDS Limit",'Machine Calculations'!R88,IF(Machine!$L$12="AoA Modified Limit",'Machine Calculations'!R71)))))</f>
        <v>11792649484.578152</v>
      </c>
      <c r="S80" s="127">
        <f>IF(Machine!$L$12="","",IF(Machine!$L$12="Total Art. 6 Spending",'Machine Calculations'!S87,IF(Machine!$L$12="AMS + DM Spending",'Machine Calculations'!S89,IF(Machine!$L$12="OTDS Limit",'Machine Calculations'!S88,IF(Machine!$L$12="AoA Modified Limit",'Machine Calculations'!S71)))))</f>
        <v>12146428969.115496</v>
      </c>
      <c r="T80" s="127">
        <f>IF(Machine!$L$12="","",IF(Machine!$L$12="Total Art. 6 Spending",'Machine Calculations'!T87,IF(Machine!$L$12="AMS + DM Spending",'Machine Calculations'!T89,IF(Machine!$L$12="OTDS Limit",'Machine Calculations'!T88,IF(Machine!$L$12="AoA Modified Limit",'Machine Calculations'!T71)))))</f>
        <v>12510821838.188961</v>
      </c>
      <c r="U80" s="127">
        <f>IF(Machine!$L$12="","",IF(Machine!$L$12="Total Art. 6 Spending",'Machine Calculations'!U87,IF(Machine!$L$12="AMS + DM Spending",'Machine Calculations'!U89,IF(Machine!$L$12="OTDS Limit",'Machine Calculations'!U88,IF(Machine!$L$12="AoA Modified Limit",'Machine Calculations'!U71)))))</f>
        <v>12886146493.334629</v>
      </c>
      <c r="V80" s="127">
        <f>IF(Machine!$L$12="","",IF(Machine!$L$12="Total Art. 6 Spending",'Machine Calculations'!V87,IF(Machine!$L$12="AMS + DM Spending",'Machine Calculations'!V89,IF(Machine!$L$12="OTDS Limit",'Machine Calculations'!V88,IF(Machine!$L$12="AoA Modified Limit",'Machine Calculations'!V71)))))</f>
        <v>13272730888.134668</v>
      </c>
      <c r="W80" s="127">
        <f>IF(Machine!$L$12="","",IF(Machine!$L$12="Total Art. 6 Spending",'Machine Calculations'!W87,IF(Machine!$L$12="AMS + DM Spending",'Machine Calculations'!W89,IF(Machine!$L$12="OTDS Limit",'Machine Calculations'!W88,IF(Machine!$L$12="AoA Modified Limit",'Machine Calculations'!W71)))))</f>
        <v>13670912814.778708</v>
      </c>
      <c r="X80" s="127">
        <f>IF(Machine!$L$12="","",IF(Machine!$L$12="Total Art. 6 Spending",'Machine Calculations'!X87,IF(Machine!$L$12="AMS + DM Spending",'Machine Calculations'!X89,IF(Machine!$L$12="OTDS Limit",'Machine Calculations'!X88,IF(Machine!$L$12="AoA Modified Limit",'Machine Calculations'!X71)))))</f>
        <v>14081040199.222069</v>
      </c>
      <c r="Y80" s="127">
        <f>IF(Machine!$L$12="","",IF(Machine!$L$12="Total Art. 6 Spending",'Machine Calculations'!Y87,IF(Machine!$L$12="AMS + DM Spending",'Machine Calculations'!Y89,IF(Machine!$L$12="OTDS Limit",'Machine Calculations'!Y88,IF(Machine!$L$12="AoA Modified Limit",'Machine Calculations'!Y71)))))</f>
        <v>14503471405.19873</v>
      </c>
      <c r="Z80" s="127">
        <f>IF(Machine!$L$12="","",IF(Machine!$L$12="Total Art. 6 Spending",'Machine Calculations'!Z87,IF(Machine!$L$12="AMS + DM Spending",'Machine Calculations'!Z89,IF(Machine!$L$12="OTDS Limit",'Machine Calculations'!Z88,IF(Machine!$L$12="AoA Modified Limit",'Machine Calculations'!Z71)))))</f>
        <v>14938575547.354692</v>
      </c>
    </row>
    <row r="81" spans="1:26" x14ac:dyDescent="0.25">
      <c r="A81" t="str">
        <f>IF(Machine!F8="","",IF(Machine!J12="Hide","",IF(COUNTBLANK(Machine!K12:L12)=2,"",Machine!K12&amp;" vs. "&amp;Machine!L12)))</f>
        <v/>
      </c>
      <c r="B81" s="127" t="str">
        <f>IF(Machine!$J$12="Hide","",IF(Machine!$F$8="","",'Machine Calculations'!B79-'Machine Calculations'!B80))</f>
        <v/>
      </c>
      <c r="C81" s="127" t="str">
        <f>IF(Machine!$J$12="Hide","",IF(Machine!$F$8="","",'Machine Calculations'!C79-'Machine Calculations'!C80))</f>
        <v/>
      </c>
      <c r="D81" s="127" t="str">
        <f>IF(Machine!$J$12="Hide","",IF(Machine!$F$8="","",'Machine Calculations'!D79-'Machine Calculations'!D80))</f>
        <v/>
      </c>
      <c r="E81" s="127" t="str">
        <f>IF(Machine!$J$12="Hide","",IF(Machine!$F$8="","",'Machine Calculations'!E79-'Machine Calculations'!E80))</f>
        <v/>
      </c>
      <c r="F81" s="127" t="str">
        <f>IF(Machine!$J$12="Hide","",IF(Machine!$F$8="","",'Machine Calculations'!F79-'Machine Calculations'!F80))</f>
        <v/>
      </c>
      <c r="G81" s="127" t="str">
        <f>IF(Machine!$J$12="Hide","",IF(Machine!$F$8="","",'Machine Calculations'!G79-'Machine Calculations'!G80))</f>
        <v/>
      </c>
      <c r="H81" s="127" t="str">
        <f>IF(Machine!$J$12="Hide","",IF(Machine!$F$8="","",'Machine Calculations'!H79-'Machine Calculations'!H80))</f>
        <v/>
      </c>
      <c r="I81" s="127" t="str">
        <f>IF(Machine!$J$12="Hide","",IF(Machine!$F$8="","",'Machine Calculations'!I79-'Machine Calculations'!I80))</f>
        <v/>
      </c>
      <c r="J81" s="127" t="str">
        <f>IF(Machine!$J$12="Hide","",IF(Machine!$F$8="","",'Machine Calculations'!J79-'Machine Calculations'!J80))</f>
        <v/>
      </c>
      <c r="K81" s="127" t="str">
        <f>IF(Machine!$J$12="Hide","",IF(Machine!$F$8="","",'Machine Calculations'!K79-'Machine Calculations'!K80))</f>
        <v/>
      </c>
      <c r="L81" s="127" t="str">
        <f>IF(Machine!$J$12="Hide","",IF(Machine!$F$8="","",'Machine Calculations'!L79-'Machine Calculations'!L80))</f>
        <v/>
      </c>
      <c r="M81" s="127" t="str">
        <f>IF(Machine!$J$12="Hide","",IF(Machine!$F$8="","",'Machine Calculations'!M79-'Machine Calculations'!M80))</f>
        <v/>
      </c>
      <c r="N81" s="127" t="str">
        <f>IF(Machine!$J$12="Hide","",IF(Machine!$F$8="","",'Machine Calculations'!N79-'Machine Calculations'!N80))</f>
        <v/>
      </c>
      <c r="O81" s="127" t="str">
        <f>IF(Machine!$J$12="Hide","",IF(Machine!$F$8="","",'Machine Calculations'!O79-'Machine Calculations'!O80))</f>
        <v/>
      </c>
      <c r="P81" s="127" t="str">
        <f>IF(Machine!$J$12="Hide","",IF(Machine!$F$8="","",'Machine Calculations'!P79-'Machine Calculations'!P80))</f>
        <v/>
      </c>
      <c r="Q81" s="127" t="str">
        <f>IF(Machine!$J$12="Hide","",IF(Machine!$F$8="","",'Machine Calculations'!Q79-'Machine Calculations'!Q80))</f>
        <v/>
      </c>
      <c r="R81" s="127" t="str">
        <f>IF(Machine!$J$12="Hide","",IF(Machine!$F$8="","",'Machine Calculations'!R79-'Machine Calculations'!R80))</f>
        <v/>
      </c>
      <c r="S81" s="127" t="str">
        <f>IF(Machine!$J$12="Hide","",IF(Machine!$F$8="","",'Machine Calculations'!S79-'Machine Calculations'!S80))</f>
        <v/>
      </c>
      <c r="T81" s="127" t="str">
        <f>IF(Machine!$J$12="Hide","",IF(Machine!$F$8="","",'Machine Calculations'!T79-'Machine Calculations'!T80))</f>
        <v/>
      </c>
      <c r="U81" s="127" t="str">
        <f>IF(Machine!$J$12="Hide","",IF(Machine!$F$8="","",'Machine Calculations'!U79-'Machine Calculations'!U80))</f>
        <v/>
      </c>
      <c r="V81" s="127" t="str">
        <f>IF(Machine!$J$12="Hide","",IF(Machine!$F$8="","",'Machine Calculations'!V79-'Machine Calculations'!V80))</f>
        <v/>
      </c>
      <c r="W81" s="127" t="str">
        <f>IF(Machine!$J$12="Hide","",IF(Machine!$F$8="","",'Machine Calculations'!W79-'Machine Calculations'!W80))</f>
        <v/>
      </c>
      <c r="X81" s="127" t="str">
        <f>IF(Machine!$J$12="Hide","",IF(Machine!$F$8="","",'Machine Calculations'!X79-'Machine Calculations'!X80))</f>
        <v/>
      </c>
      <c r="Y81" s="127" t="str">
        <f>IF(Machine!$J$12="Hide","",IF(Machine!$F$8="","",'Machine Calculations'!Y79-'Machine Calculations'!Y80))</f>
        <v/>
      </c>
      <c r="Z81" s="127" t="str">
        <f>IF(Machine!$J$12="Hide","",IF(Machine!$F$8="","",'Machine Calculations'!Z79-'Machine Calculations'!Z80))</f>
        <v/>
      </c>
    </row>
    <row r="84" spans="1:26" x14ac:dyDescent="0.25">
      <c r="A84" s="39" t="s">
        <v>248</v>
      </c>
    </row>
    <row r="85" spans="1:26" x14ac:dyDescent="0.25">
      <c r="B85">
        <v>2006</v>
      </c>
      <c r="C85">
        <v>2007</v>
      </c>
      <c r="D85">
        <v>2008</v>
      </c>
      <c r="E85">
        <v>2009</v>
      </c>
      <c r="F85">
        <v>2010</v>
      </c>
      <c r="G85">
        <v>2011</v>
      </c>
      <c r="H85">
        <v>2012</v>
      </c>
      <c r="I85">
        <v>2013</v>
      </c>
      <c r="J85">
        <v>2014</v>
      </c>
      <c r="K85">
        <v>2015</v>
      </c>
      <c r="L85">
        <v>2016</v>
      </c>
      <c r="M85">
        <v>2017</v>
      </c>
      <c r="N85">
        <v>2018</v>
      </c>
      <c r="O85">
        <v>2019</v>
      </c>
      <c r="P85">
        <v>2020</v>
      </c>
      <c r="Q85">
        <v>2021</v>
      </c>
      <c r="R85">
        <v>2022</v>
      </c>
      <c r="S85">
        <v>2023</v>
      </c>
      <c r="T85">
        <v>2024</v>
      </c>
      <c r="U85">
        <v>2025</v>
      </c>
      <c r="V85">
        <v>2026</v>
      </c>
      <c r="W85">
        <v>2027</v>
      </c>
      <c r="X85">
        <v>2028</v>
      </c>
      <c r="Y85">
        <v>2029</v>
      </c>
      <c r="Z85">
        <v>2030</v>
      </c>
    </row>
    <row r="86" spans="1:26" x14ac:dyDescent="0.25">
      <c r="A86" t="s">
        <v>187</v>
      </c>
      <c r="B86" s="51">
        <f>VLOOKUP(Machine!$F$8,'Machine Calculations'!$A$15:$Z$18,'Machine Calculations'!B85-2004,FALSE)</f>
        <v>46384205111.95343</v>
      </c>
      <c r="C86" s="51">
        <f>VLOOKUP(Machine!$F$8,'Machine Calculations'!$A$15:$Z$18,'Machine Calculations'!C85-2004,FALSE)</f>
        <v>46139829111.95343</v>
      </c>
      <c r="D86" s="51">
        <f>VLOOKUP(Machine!$F$8,'Machine Calculations'!$A$15:$Z$18,'Machine Calculations'!D85-2004,FALSE)</f>
        <v>46988349111.95343</v>
      </c>
      <c r="E86" s="51">
        <f>VLOOKUP(Machine!$F$8,'Machine Calculations'!$A$15:$Z$18,'Machine Calculations'!E85-2004,FALSE)</f>
        <v>47470963111.95343</v>
      </c>
      <c r="F86" s="51">
        <f>VLOOKUP(Machine!$F$8,'Machine Calculations'!$A$15:$Z$18,'Machine Calculations'!F85-2004,FALSE)</f>
        <v>48067160111.95343</v>
      </c>
      <c r="G86" s="51">
        <f>VLOOKUP(Machine!$F$8,'Machine Calculations'!$A$15:$Z$18,'Machine Calculations'!G85-2004,FALSE)</f>
        <v>48491804111.95343</v>
      </c>
      <c r="H86" s="51">
        <f>VLOOKUP(Machine!$F$8,'Machine Calculations'!$A$15:$Z$18,'Machine Calculations'!H85-2004,FALSE)</f>
        <v>48991799111.95343</v>
      </c>
      <c r="I86" s="51">
        <f>VLOOKUP(Machine!$F$8,'Machine Calculations'!$A$15:$Z$18,'Machine Calculations'!I85-2004,FALSE)</f>
        <v>47412534111.95343</v>
      </c>
      <c r="J86" s="51">
        <f>VLOOKUP(Machine!$F$8,'Machine Calculations'!$A$15:$Z$18,'Machine Calculations'!J85-2004,FALSE)</f>
        <v>47625976401.95343</v>
      </c>
      <c r="K86" s="51">
        <f>VLOOKUP(Machine!$F$8,'Machine Calculations'!$A$15:$Z$18,'Machine Calculations'!K85-2004,FALSE)</f>
        <v>47845821960.653427</v>
      </c>
      <c r="L86" s="51">
        <f>VLOOKUP(Machine!$F$8,'Machine Calculations'!$A$15:$Z$18,'Machine Calculations'!L85-2004,FALSE)</f>
        <v>48072262886.114433</v>
      </c>
      <c r="M86" s="51">
        <f>VLOOKUP(Machine!$F$8,'Machine Calculations'!$A$15:$Z$18,'Machine Calculations'!M85-2004,FALSE)</f>
        <v>48305497039.339264</v>
      </c>
      <c r="N86" s="51">
        <f>VLOOKUP(Machine!$F$8,'Machine Calculations'!$A$15:$Z$18,'Machine Calculations'!N85-2004,FALSE)</f>
        <v>48545728217.160835</v>
      </c>
      <c r="O86" s="51">
        <f>VLOOKUP(Machine!$F$8,'Machine Calculations'!$A$15:$Z$18,'Machine Calculations'!O85-2004,FALSE)</f>
        <v>48793166330.317062</v>
      </c>
      <c r="P86" s="51">
        <f>VLOOKUP(Machine!$F$8,'Machine Calculations'!$A$15:$Z$18,'Machine Calculations'!P85-2004,FALSE)</f>
        <v>49048027586.867966</v>
      </c>
      <c r="Q86" s="51">
        <f>VLOOKUP(Machine!$F$8,'Machine Calculations'!$A$15:$Z$18,'Machine Calculations'!Q85-2004,FALSE)</f>
        <v>49310534681.115402</v>
      </c>
      <c r="R86" s="51">
        <f>VLOOKUP(Machine!$F$8,'Machine Calculations'!$A$15:$Z$18,'Machine Calculations'!R85-2004,FALSE)</f>
        <v>49580916988.190262</v>
      </c>
      <c r="S86" s="51">
        <f>VLOOKUP(Machine!$F$8,'Machine Calculations'!$A$15:$Z$18,'Machine Calculations'!S85-2004,FALSE)</f>
        <v>49859410764.477371</v>
      </c>
      <c r="T86" s="51">
        <f>VLOOKUP(Machine!$F$8,'Machine Calculations'!$A$15:$Z$18,'Machine Calculations'!T85-2004,FALSE)</f>
        <v>50146259354.053085</v>
      </c>
      <c r="U86" s="51">
        <f>VLOOKUP(Machine!$F$8,'Machine Calculations'!$A$15:$Z$18,'Machine Calculations'!U85-2004,FALSE)</f>
        <v>50441713401.316078</v>
      </c>
      <c r="V86" s="51">
        <f>VLOOKUP(Machine!$F$8,'Machine Calculations'!$A$15:$Z$18,'Machine Calculations'!V85-2004,FALSE)</f>
        <v>50746031069.996956</v>
      </c>
      <c r="W86" s="51">
        <f>VLOOKUP(Machine!$F$8,'Machine Calculations'!$A$15:$Z$18,'Machine Calculations'!W85-2004,FALSE)</f>
        <v>51059478268.738266</v>
      </c>
      <c r="X86" s="51">
        <f>VLOOKUP(Machine!$F$8,'Machine Calculations'!$A$15:$Z$18,'Machine Calculations'!X85-2004,FALSE)</f>
        <v>51382328883.441803</v>
      </c>
      <c r="Y86" s="51">
        <f>VLOOKUP(Machine!$F$8,'Machine Calculations'!$A$15:$Z$18,'Machine Calculations'!Y85-2004,FALSE)</f>
        <v>51714865016.586456</v>
      </c>
      <c r="Z86" s="51">
        <f>VLOOKUP(Machine!$F$8,'Machine Calculations'!$A$15:$Z$18,'Machine Calculations'!Z85-2004,FALSE)</f>
        <v>52057377233.725449</v>
      </c>
    </row>
    <row r="87" spans="1:26" x14ac:dyDescent="0.25">
      <c r="A87" t="str">
        <f>Machine!K10</f>
        <v>Total Article 6 Spending</v>
      </c>
      <c r="B87" s="51">
        <f>VLOOKUP(Machine!$F$8,TDS_Spending,'Machine Calculations'!B85-2003,FALSE)</f>
        <v>5668948268.3784428</v>
      </c>
      <c r="C87" s="51">
        <f>VLOOKUP(Machine!$F$8,TDS_Spending,'Machine Calculations'!C85-2003,FALSE)</f>
        <v>4772055408.7668076</v>
      </c>
      <c r="D87" s="51">
        <f>VLOOKUP(Machine!$F$8,TDS_Spending,'Machine Calculations'!D85-2003,FALSE)</f>
        <v>6296202020.9373121</v>
      </c>
      <c r="E87" s="51">
        <f>VLOOKUP(Machine!$F$8,TDS_Spending,'Machine Calculations'!E85-2003,FALSE)</f>
        <v>7414608401.8660421</v>
      </c>
      <c r="F87" s="51">
        <f>VLOOKUP(Machine!$F$8,TDS_Spending,'Machine Calculations'!F85-2003,FALSE)</f>
        <v>9892631496.259201</v>
      </c>
      <c r="G87" s="51">
        <f>VLOOKUP(Machine!$F$8,TDS_Spending,'Machine Calculations'!G85-2003,FALSE)</f>
        <v>9842774518.8716221</v>
      </c>
      <c r="H87" s="51">
        <f>VLOOKUP(Machine!$F$8,TDS_Spending,'Machine Calculations'!H85-2003,FALSE)</f>
        <v>10418003502.04114</v>
      </c>
      <c r="I87" s="51">
        <f>VLOOKUP(Machine!$F$8,TDS_Spending,'Machine Calculations'!I85-2003,FALSE)</f>
        <v>10730543607.102373</v>
      </c>
      <c r="J87" s="51">
        <f>VLOOKUP(Machine!$F$8,TDS_Spending,'Machine Calculations'!J85-2003,FALSE)</f>
        <v>11052459915.315445</v>
      </c>
      <c r="K87" s="51">
        <f>VLOOKUP(Machine!$F$8,TDS_Spending,'Machine Calculations'!K85-2003,FALSE)</f>
        <v>11384033712.774908</v>
      </c>
      <c r="L87" s="51">
        <f>VLOOKUP(Machine!$F$8,TDS_Spending,'Machine Calculations'!L85-2003,FALSE)</f>
        <v>11725554724.158155</v>
      </c>
      <c r="M87" s="51">
        <f>VLOOKUP(Machine!$F$8,TDS_Spending,'Machine Calculations'!M85-2003,FALSE)</f>
        <v>12077321365.8829</v>
      </c>
      <c r="N87" s="51">
        <f>VLOOKUP(Machine!$F$8,TDS_Spending,'Machine Calculations'!N85-2003,FALSE)</f>
        <v>12439641006.859386</v>
      </c>
      <c r="O87" s="51">
        <f>VLOOKUP(Machine!$F$8,TDS_Spending,'Machine Calculations'!O85-2003,FALSE)</f>
        <v>12812830237.065168</v>
      </c>
      <c r="P87" s="51">
        <f>VLOOKUP(Machine!$F$8,TDS_Spending,'Machine Calculations'!P85-2003,FALSE)</f>
        <v>13197215144.177124</v>
      </c>
      <c r="Q87" s="51">
        <f>VLOOKUP(Machine!$F$8,TDS_Spending,'Machine Calculations'!Q85-2003,FALSE)</f>
        <v>13593131598.502438</v>
      </c>
      <c r="R87" s="51">
        <f>VLOOKUP(Machine!$F$8,TDS_Spending,'Machine Calculations'!R85-2003,FALSE)</f>
        <v>14000925546.45751</v>
      </c>
      <c r="S87" s="51">
        <f>VLOOKUP(Machine!$F$8,TDS_Spending,'Machine Calculations'!S85-2003,FALSE)</f>
        <v>14420953312.851234</v>
      </c>
      <c r="T87" s="51">
        <f>VLOOKUP(Machine!$F$8,TDS_Spending,'Machine Calculations'!T85-2003,FALSE)</f>
        <v>14853581912.236771</v>
      </c>
      <c r="U87" s="51">
        <f>VLOOKUP(Machine!$F$8,TDS_Spending,'Machine Calculations'!U85-2003,FALSE)</f>
        <v>15299189369.603874</v>
      </c>
      <c r="V87" s="51">
        <f>VLOOKUP(Machine!$F$8,TDS_Spending,'Machine Calculations'!V85-2003,FALSE)</f>
        <v>15758165050.69199</v>
      </c>
      <c r="W87" s="51">
        <f>VLOOKUP(Machine!$F$8,TDS_Spending,'Machine Calculations'!W85-2003,FALSE)</f>
        <v>16230910002.212749</v>
      </c>
      <c r="X87" s="51">
        <f>VLOOKUP(Machine!$F$8,TDS_Spending,'Machine Calculations'!X85-2003,FALSE)</f>
        <v>16717837302.279133</v>
      </c>
      <c r="Y87" s="51">
        <f>VLOOKUP(Machine!$F$8,TDS_Spending,'Machine Calculations'!Y85-2003,FALSE)</f>
        <v>17219372421.347507</v>
      </c>
      <c r="Z87" s="51">
        <f>VLOOKUP(Machine!$F$8,TDS_Spending,'Machine Calculations'!Z85-2003,FALSE)</f>
        <v>17735953593.987934</v>
      </c>
    </row>
    <row r="88" spans="1:26" x14ac:dyDescent="0.25">
      <c r="A88" t="str">
        <f>Machine!F11</f>
        <v>OTDS Developed Limit of 20%</v>
      </c>
      <c r="B88" s="51">
        <f>VLOOKUP(Machine!$F$8,'Machine Calculations'!$A$8:$B$12,2,FALSE)</f>
        <v>14584545984.156548</v>
      </c>
      <c r="C88" s="51">
        <f>VLOOKUP(Machine!$F$8,'Machine Calculations'!$A$8:$B$12,2,FALSE)</f>
        <v>14584545984.156548</v>
      </c>
      <c r="D88" s="51">
        <f>VLOOKUP(Machine!$F$8,'Machine Calculations'!$A$8:$B$12,2,FALSE)</f>
        <v>14584545984.156548</v>
      </c>
      <c r="E88" s="51">
        <f>VLOOKUP(Machine!$F$8,'Machine Calculations'!$A$8:$B$12,2,FALSE)</f>
        <v>14584545984.156548</v>
      </c>
      <c r="F88" s="51">
        <f>VLOOKUP(Machine!$F$8,'Machine Calculations'!$A$8:$B$12,2,FALSE)</f>
        <v>14584545984.156548</v>
      </c>
      <c r="G88" s="51">
        <f>VLOOKUP(Machine!$F$8,'Machine Calculations'!$A$8:$B$12,2,FALSE)</f>
        <v>14584545984.156548</v>
      </c>
      <c r="H88" s="51">
        <f>VLOOKUP(Machine!$F$8,'Machine Calculations'!$A$8:$B$12,2,FALSE)</f>
        <v>14584545984.156548</v>
      </c>
      <c r="I88" s="51">
        <f>VLOOKUP(Machine!$F$8,'Machine Calculations'!$A$8:$B$12,2,FALSE)</f>
        <v>14584545984.156548</v>
      </c>
      <c r="J88" s="51">
        <f>VLOOKUP(Machine!$F$8,'Machine Calculations'!$A$8:$B$12,2,FALSE)</f>
        <v>14584545984.156548</v>
      </c>
      <c r="K88" s="51">
        <f>VLOOKUP(Machine!$F$8,'Machine Calculations'!$A$8:$B$12,2,FALSE)</f>
        <v>14584545984.156548</v>
      </c>
      <c r="L88" s="51">
        <f>VLOOKUP(Machine!$F$8,'Machine Calculations'!$A$8:$B$12,2,FALSE)</f>
        <v>14584545984.156548</v>
      </c>
      <c r="M88" s="51">
        <f>VLOOKUP(Machine!$F$8,'Machine Calculations'!$A$8:$B$12,2,FALSE)</f>
        <v>14584545984.156548</v>
      </c>
      <c r="N88" s="51">
        <f>VLOOKUP(Machine!$F$8,'Machine Calculations'!$A$8:$B$12,2,FALSE)</f>
        <v>14584545984.156548</v>
      </c>
      <c r="O88" s="51">
        <f>VLOOKUP(Machine!$F$8,'Machine Calculations'!$A$8:$B$12,2,FALSE)</f>
        <v>14584545984.156548</v>
      </c>
      <c r="P88" s="51">
        <f>VLOOKUP(Machine!$F$8,'Machine Calculations'!$A$8:$B$12,2,FALSE)</f>
        <v>14584545984.156548</v>
      </c>
      <c r="Q88" s="51">
        <f>VLOOKUP(Machine!$F$8,'Machine Calculations'!$A$8:$B$12,2,FALSE)</f>
        <v>14584545984.156548</v>
      </c>
      <c r="R88" s="51">
        <f>VLOOKUP(Machine!$F$8,'Machine Calculations'!$A$8:$B$12,2,FALSE)</f>
        <v>14584545984.156548</v>
      </c>
      <c r="S88" s="51">
        <f>VLOOKUP(Machine!$F$8,'Machine Calculations'!$A$8:$B$12,2,FALSE)</f>
        <v>14584545984.156548</v>
      </c>
      <c r="T88" s="51">
        <f>VLOOKUP(Machine!$F$8,'Machine Calculations'!$A$8:$B$12,2,FALSE)</f>
        <v>14584545984.156548</v>
      </c>
      <c r="U88" s="51">
        <f>VLOOKUP(Machine!$F$8,'Machine Calculations'!$A$8:$B$12,2,FALSE)</f>
        <v>14584545984.156548</v>
      </c>
      <c r="V88" s="51">
        <f>VLOOKUP(Machine!$F$8,'Machine Calculations'!$A$8:$B$12,2,FALSE)</f>
        <v>14584545984.156548</v>
      </c>
      <c r="W88" s="51">
        <f>VLOOKUP(Machine!$F$8,'Machine Calculations'!$A$8:$B$12,2,FALSE)</f>
        <v>14584545984.156548</v>
      </c>
      <c r="X88" s="51">
        <f>VLOOKUP(Machine!$F$8,'Machine Calculations'!$A$8:$B$12,2,FALSE)</f>
        <v>14584545984.156548</v>
      </c>
      <c r="Y88" s="51">
        <f>VLOOKUP(Machine!$F$8,'Machine Calculations'!$A$8:$B$12,2,FALSE)</f>
        <v>14584545984.156548</v>
      </c>
      <c r="Z88" s="51">
        <f>VLOOKUP(Machine!$F$8,'Machine Calculations'!$A$8:$B$12,2,FALSE)</f>
        <v>14584545984.156548</v>
      </c>
    </row>
    <row r="89" spans="1:26" x14ac:dyDescent="0.25">
      <c r="A89" t="s">
        <v>200</v>
      </c>
      <c r="B89" s="51">
        <f>VLOOKUP(Machine!$F$8,AMS_DM_Spending,'Machine Calculations'!B44-2003,FALSE)</f>
        <v>5083599507.8195124</v>
      </c>
      <c r="C89" s="51">
        <f>VLOOKUP(Machine!$F$8,AMS_DM_Spending,'Machine Calculations'!C44-2003,FALSE)</f>
        <v>4186706648.5890331</v>
      </c>
      <c r="D89" s="51">
        <f>VLOOKUP(Machine!$F$8,AMS_DM_Spending,'Machine Calculations'!D44-2003,FALSE)</f>
        <v>6007172628.2564144</v>
      </c>
      <c r="E89" s="51">
        <f>VLOOKUP(Machine!$F$8,AMS_DM_Spending,'Machine Calculations'!E44-2003,FALSE)</f>
        <v>7201842226.8806648</v>
      </c>
      <c r="F89" s="51">
        <f>VLOOKUP(Machine!$F$8,AMS_DM_Spending,'Machine Calculations'!F44-2003,FALSE)</f>
        <v>6780707633.8730984</v>
      </c>
      <c r="G89" s="51">
        <f>VLOOKUP(Machine!$F$8,AMS_DM_Spending,'Machine Calculations'!G44-2003,FALSE)</f>
        <v>8186283867.8635674</v>
      </c>
      <c r="H89" s="51">
        <f>VLOOKUP(Machine!$F$8,AMS_DM_Spending,'Machine Calculations'!H44-2003,FALSE)</f>
        <v>8774838721.9846039</v>
      </c>
      <c r="I89" s="51">
        <f>VLOOKUP(Machine!$F$8,AMS_DM_Spending,'Machine Calculations'!I44-2003,FALSE)</f>
        <v>9038083883.6441422</v>
      </c>
      <c r="J89" s="51">
        <f>VLOOKUP(Machine!$F$8,AMS_DM_Spending,'Machine Calculations'!J44-2003,FALSE)</f>
        <v>9309226400.1534672</v>
      </c>
      <c r="K89" s="51">
        <f>VLOOKUP(Machine!$F$8,AMS_DM_Spending,'Machine Calculations'!K44-2003,FALSE)</f>
        <v>9588503192.1580715</v>
      </c>
      <c r="L89" s="51">
        <f>VLOOKUP(Machine!$F$8,AMS_DM_Spending,'Machine Calculations'!L44-2003,FALSE)</f>
        <v>9876158287.9228134</v>
      </c>
      <c r="M89" s="51">
        <f>VLOOKUP(Machine!$F$8,AMS_DM_Spending,'Machine Calculations'!M44-2003,FALSE)</f>
        <v>10172443036.560497</v>
      </c>
      <c r="N89" s="51">
        <f>VLOOKUP(Machine!$F$8,AMS_DM_Spending,'Machine Calculations'!N44-2003,FALSE)</f>
        <v>10477616327.657312</v>
      </c>
      <c r="O89" s="51">
        <f>VLOOKUP(Machine!$F$8,AMS_DM_Spending,'Machine Calculations'!O44-2003,FALSE)</f>
        <v>10791944817.487032</v>
      </c>
      <c r="P89" s="51">
        <f>VLOOKUP(Machine!$F$8,AMS_DM_Spending,'Machine Calculations'!P44-2003,FALSE)</f>
        <v>11115703162.011642</v>
      </c>
      <c r="Q89" s="51">
        <f>VLOOKUP(Machine!$F$8,AMS_DM_Spending,'Machine Calculations'!Q44-2003,FALSE)</f>
        <v>11449174256.871992</v>
      </c>
      <c r="R89" s="51">
        <f>VLOOKUP(Machine!$F$8,AMS_DM_Spending,'Machine Calculations'!R44-2003,FALSE)</f>
        <v>11792649484.578152</v>
      </c>
      <c r="S89" s="51">
        <f>VLOOKUP(Machine!$F$8,AMS_DM_Spending,'Machine Calculations'!S44-2003,FALSE)</f>
        <v>12146428969.115496</v>
      </c>
      <c r="T89" s="51">
        <f>VLOOKUP(Machine!$F$8,AMS_DM_Spending,'Machine Calculations'!T44-2003,FALSE)</f>
        <v>12510821838.188961</v>
      </c>
      <c r="U89" s="51">
        <f>VLOOKUP(Machine!$F$8,AMS_DM_Spending,'Machine Calculations'!U44-2003,FALSE)</f>
        <v>12886146493.334629</v>
      </c>
      <c r="V89" s="51">
        <f>VLOOKUP(Machine!$F$8,AMS_DM_Spending,'Machine Calculations'!V44-2003,FALSE)</f>
        <v>13272730888.134668</v>
      </c>
      <c r="W89" s="51">
        <f>VLOOKUP(Machine!$F$8,AMS_DM_Spending,'Machine Calculations'!W44-2003,FALSE)</f>
        <v>13670912814.778708</v>
      </c>
      <c r="X89" s="51">
        <f>VLOOKUP(Machine!$F$8,AMS_DM_Spending,'Machine Calculations'!X44-2003,FALSE)</f>
        <v>14081040199.222069</v>
      </c>
      <c r="Y89" s="51">
        <f>VLOOKUP(Machine!$F$8,AMS_DM_Spending,'Machine Calculations'!Y44-2003,FALSE)</f>
        <v>14503471405.19873</v>
      </c>
      <c r="Z89" s="51">
        <f>VLOOKUP(Machine!$F$8,AMS_DM_Spending,'Machine Calculations'!Z44-2003,FALSE)</f>
        <v>14938575547.354692</v>
      </c>
    </row>
    <row r="91" spans="1:26" x14ac:dyDescent="0.25">
      <c r="A91" s="39" t="s">
        <v>249</v>
      </c>
    </row>
    <row r="92" spans="1:26" x14ac:dyDescent="0.25">
      <c r="A92" t="s">
        <v>213</v>
      </c>
      <c r="B92" t="s">
        <v>246</v>
      </c>
      <c r="C92" t="str">
        <f>" "&amp;Machine!$D$31&amp;"%"</f>
        <v xml:space="preserve"> %</v>
      </c>
    </row>
    <row r="93" spans="1:26" x14ac:dyDescent="0.25">
      <c r="A93" t="s">
        <v>212</v>
      </c>
      <c r="B93" t="s">
        <v>247</v>
      </c>
      <c r="C93" t="str">
        <f>" "&amp;Machine!$D$31&amp;"%"</f>
        <v xml:space="preserve"> %</v>
      </c>
    </row>
    <row r="94" spans="1:26" x14ac:dyDescent="0.25">
      <c r="A94" t="s">
        <v>221</v>
      </c>
      <c r="B94" t="s">
        <v>247</v>
      </c>
      <c r="C94" t="str">
        <f>" "&amp;DOLLAR(Machine!$D$31*1000000,0)</f>
        <v xml:space="preserve"> $0</v>
      </c>
    </row>
    <row r="95" spans="1:26" x14ac:dyDescent="0.25">
      <c r="A95" t="s">
        <v>222</v>
      </c>
      <c r="B95" t="s">
        <v>246</v>
      </c>
      <c r="C95" t="str">
        <f>" "&amp;DOLLAR(Machine!$D$31*1000000,0)</f>
        <v xml:space="preserve"> $0</v>
      </c>
    </row>
    <row r="98" spans="1:26" x14ac:dyDescent="0.25">
      <c r="A98" s="39" t="s">
        <v>411</v>
      </c>
      <c r="B98" s="204" t="str">
        <f>IFERROR(IF(Machine!$F$8="","",Machine!$F$8&amp;" at VoP Growth Rate: "&amp;IF(VLOOKUP(Machine!F8,Machine!B16:D19,2,FALSE)="",Machine!D10*100,100*VLOOKUP(Machine!F8,Machine!B16:'Machine'!D19,2,FALSE))&amp;"% and TDS Growth Rate: "&amp;IF(VLOOKUP(Machine!F8,Machine!B16:D19,3,FALSE)="",Machine!D11*100,100*VLOOKUP(Machine!F8,Machine!B16:'Machine'!D19,3,FALSE))&amp;"%"),"Select Members in top left and above to begin")</f>
        <v>Japan at VoP Growth Rate: 3% and TDS Growth Rate: 3%</v>
      </c>
      <c r="C98" s="205"/>
      <c r="D98" s="206"/>
    </row>
    <row r="100" spans="1:26" x14ac:dyDescent="0.25">
      <c r="A100" s="39" t="s">
        <v>412</v>
      </c>
    </row>
    <row r="101" spans="1:26" x14ac:dyDescent="0.25">
      <c r="A101" t="str">
        <f>IF(Machine!B3="","",Machine!$B3)</f>
        <v>Japan</v>
      </c>
      <c r="B101" s="160">
        <f>IF($A101="","",VLOOKUP($A101,TDS_Spending,'Machine Calculations'!B$44-2003,FALSE))</f>
        <v>5668948268.3784428</v>
      </c>
      <c r="C101" s="160">
        <f>IF($A101="","",VLOOKUP($A101,TDS_Spending,'Machine Calculations'!C$44-2003,FALSE))</f>
        <v>4772055408.7668076</v>
      </c>
      <c r="D101" s="160">
        <f>IF($A101="","",VLOOKUP($A101,TDS_Spending,'Machine Calculations'!D$44-2003,FALSE))</f>
        <v>6296202020.9373121</v>
      </c>
      <c r="E101" s="160">
        <f>IF($A101="","",VLOOKUP($A101,TDS_Spending,'Machine Calculations'!E$44-2003,FALSE))</f>
        <v>7414608401.8660421</v>
      </c>
      <c r="F101" s="160">
        <f>IF($A101="","",VLOOKUP($A101,TDS_Spending,'Machine Calculations'!F$44-2003,FALSE))</f>
        <v>9892631496.259201</v>
      </c>
      <c r="G101" s="160">
        <f>IF($A101="","",VLOOKUP($A101,TDS_Spending,'Machine Calculations'!G$44-2003,FALSE))</f>
        <v>9842774518.8716221</v>
      </c>
      <c r="H101" s="160">
        <f>IF($A101="","",VLOOKUP($A101,TDS_Spending,'Machine Calculations'!H$44-2003,FALSE))</f>
        <v>10418003502.04114</v>
      </c>
      <c r="I101" s="160">
        <f>IF($A101="","",VLOOKUP($A101,TDS_Spending,'Machine Calculations'!I$44-2003,FALSE))</f>
        <v>10730543607.102373</v>
      </c>
      <c r="J101" s="160">
        <f>IF($A101="","",VLOOKUP($A101,TDS_Spending,'Machine Calculations'!J$44-2003,FALSE))</f>
        <v>11052459915.315445</v>
      </c>
      <c r="K101" s="160">
        <f>IF($A101="","",VLOOKUP($A101,TDS_Spending,'Machine Calculations'!K$44-2003,FALSE))</f>
        <v>11384033712.774908</v>
      </c>
      <c r="L101" s="160">
        <f>IF($A101="","",VLOOKUP($A101,TDS_Spending,'Machine Calculations'!L$44-2003,FALSE))</f>
        <v>11725554724.158155</v>
      </c>
      <c r="M101" s="160">
        <f>IF($A101="","",VLOOKUP($A101,TDS_Spending,'Machine Calculations'!M$44-2003,FALSE))</f>
        <v>12077321365.8829</v>
      </c>
      <c r="N101" s="160">
        <f>IF($A101="","",VLOOKUP($A101,TDS_Spending,'Machine Calculations'!N$44-2003,FALSE))</f>
        <v>12439641006.859386</v>
      </c>
      <c r="O101" s="160">
        <f>IF($A101="","",VLOOKUP($A101,TDS_Spending,'Machine Calculations'!O$44-2003,FALSE))</f>
        <v>12812830237.065168</v>
      </c>
      <c r="P101" s="160">
        <f>IF($A101="","",VLOOKUP($A101,TDS_Spending,'Machine Calculations'!P$44-2003,FALSE))</f>
        <v>13197215144.177124</v>
      </c>
      <c r="Q101" s="160">
        <f>IF($A101="","",VLOOKUP($A101,TDS_Spending,'Machine Calculations'!Q$44-2003,FALSE))</f>
        <v>13593131598.502438</v>
      </c>
      <c r="R101" s="160">
        <f>IF($A101="","",VLOOKUP($A101,TDS_Spending,'Machine Calculations'!R$44-2003,FALSE))</f>
        <v>14000925546.45751</v>
      </c>
      <c r="S101" s="160">
        <f>IF($A101="","",VLOOKUP($A101,TDS_Spending,'Machine Calculations'!S$44-2003,FALSE))</f>
        <v>14420953312.851234</v>
      </c>
      <c r="T101" s="160">
        <f>IF($A101="","",VLOOKUP($A101,TDS_Spending,'Machine Calculations'!T$44-2003,FALSE))</f>
        <v>14853581912.236771</v>
      </c>
      <c r="U101" s="160">
        <f>IF($A101="","",VLOOKUP($A101,TDS_Spending,'Machine Calculations'!U$44-2003,FALSE))</f>
        <v>15299189369.603874</v>
      </c>
      <c r="V101" s="160">
        <f>IF($A101="","",VLOOKUP($A101,TDS_Spending,'Machine Calculations'!V$44-2003,FALSE))</f>
        <v>15758165050.69199</v>
      </c>
      <c r="W101" s="160">
        <f>IF($A101="","",VLOOKUP($A101,TDS_Spending,'Machine Calculations'!W$44-2003,FALSE))</f>
        <v>16230910002.212749</v>
      </c>
      <c r="X101" s="160">
        <f>IF($A101="","",VLOOKUP($A101,TDS_Spending,'Machine Calculations'!X$44-2003,FALSE))</f>
        <v>16717837302.279133</v>
      </c>
      <c r="Y101" s="160">
        <f>IF($A101="","",VLOOKUP($A101,TDS_Spending,'Machine Calculations'!Y$44-2003,FALSE))</f>
        <v>17219372421.347507</v>
      </c>
      <c r="Z101" s="160">
        <f>IF($A101="","",VLOOKUP($A101,TDS_Spending,'Machine Calculations'!Z$44-2003,FALSE))</f>
        <v>17735953593.987934</v>
      </c>
    </row>
    <row r="102" spans="1:26" x14ac:dyDescent="0.25">
      <c r="A102" t="str">
        <f>IF(Machine!B4="","",Machine!$B4)</f>
        <v/>
      </c>
      <c r="B102" s="160" t="str">
        <f>IF($A102="","",VLOOKUP($A102,TDS_Spending,'Machine Calculations'!B$44-2003,FALSE))</f>
        <v/>
      </c>
      <c r="C102" s="160" t="str">
        <f>IF($A102="","",VLOOKUP($A102,TDS_Spending,'Machine Calculations'!C$44-2003,FALSE))</f>
        <v/>
      </c>
      <c r="D102" s="160" t="str">
        <f>IF($A102="","",VLOOKUP($A102,TDS_Spending,'Machine Calculations'!D$44-2003,FALSE))</f>
        <v/>
      </c>
      <c r="E102" s="160" t="str">
        <f>IF($A102="","",VLOOKUP($A102,TDS_Spending,'Machine Calculations'!E$44-2003,FALSE))</f>
        <v/>
      </c>
      <c r="F102" s="160" t="str">
        <f>IF($A102="","",VLOOKUP($A102,TDS_Spending,'Machine Calculations'!F$44-2003,FALSE))</f>
        <v/>
      </c>
      <c r="G102" s="160" t="str">
        <f>IF($A102="","",VLOOKUP($A102,TDS_Spending,'Machine Calculations'!G$44-2003,FALSE))</f>
        <v/>
      </c>
      <c r="H102" s="160" t="str">
        <f>IF($A102="","",VLOOKUP($A102,TDS_Spending,'Machine Calculations'!H$44-2003,FALSE))</f>
        <v/>
      </c>
      <c r="I102" s="160" t="str">
        <f>IF($A102="","",VLOOKUP($A102,TDS_Spending,'Machine Calculations'!I$44-2003,FALSE))</f>
        <v/>
      </c>
      <c r="J102" s="160" t="str">
        <f>IF($A102="","",VLOOKUP($A102,TDS_Spending,'Machine Calculations'!J$44-2003,FALSE))</f>
        <v/>
      </c>
      <c r="K102" s="160" t="str">
        <f>IF($A102="","",VLOOKUP($A102,TDS_Spending,'Machine Calculations'!K$44-2003,FALSE))</f>
        <v/>
      </c>
      <c r="L102" s="160" t="str">
        <f>IF($A102="","",VLOOKUP($A102,TDS_Spending,'Machine Calculations'!L$44-2003,FALSE))</f>
        <v/>
      </c>
      <c r="M102" s="160" t="str">
        <f>IF($A102="","",VLOOKUP($A102,TDS_Spending,'Machine Calculations'!M$44-2003,FALSE))</f>
        <v/>
      </c>
      <c r="N102" s="160" t="str">
        <f>IF($A102="","",VLOOKUP($A102,TDS_Spending,'Machine Calculations'!N$44-2003,FALSE))</f>
        <v/>
      </c>
      <c r="O102" s="160" t="str">
        <f>IF($A102="","",VLOOKUP($A102,TDS_Spending,'Machine Calculations'!O$44-2003,FALSE))</f>
        <v/>
      </c>
      <c r="P102" s="160" t="str">
        <f>IF($A102="","",VLOOKUP($A102,TDS_Spending,'Machine Calculations'!P$44-2003,FALSE))</f>
        <v/>
      </c>
      <c r="Q102" s="160" t="str">
        <f>IF($A102="","",VLOOKUP($A102,TDS_Spending,'Machine Calculations'!Q$44-2003,FALSE))</f>
        <v/>
      </c>
      <c r="R102" s="160" t="str">
        <f>IF($A102="","",VLOOKUP($A102,TDS_Spending,'Machine Calculations'!R$44-2003,FALSE))</f>
        <v/>
      </c>
      <c r="S102" s="160" t="str">
        <f>IF($A102="","",VLOOKUP($A102,TDS_Spending,'Machine Calculations'!S$44-2003,FALSE))</f>
        <v/>
      </c>
      <c r="T102" s="160" t="str">
        <f>IF($A102="","",VLOOKUP($A102,TDS_Spending,'Machine Calculations'!T$44-2003,FALSE))</f>
        <v/>
      </c>
      <c r="U102" s="160" t="str">
        <f>IF($A102="","",VLOOKUP($A102,TDS_Spending,'Machine Calculations'!U$44-2003,FALSE))</f>
        <v/>
      </c>
      <c r="V102" s="160" t="str">
        <f>IF($A102="","",VLOOKUP($A102,TDS_Spending,'Machine Calculations'!V$44-2003,FALSE))</f>
        <v/>
      </c>
      <c r="W102" s="160" t="str">
        <f>IF($A102="","",VLOOKUP($A102,TDS_Spending,'Machine Calculations'!W$44-2003,FALSE))</f>
        <v/>
      </c>
      <c r="X102" s="160" t="str">
        <f>IF($A102="","",VLOOKUP($A102,TDS_Spending,'Machine Calculations'!X$44-2003,FALSE))</f>
        <v/>
      </c>
      <c r="Y102" s="160" t="str">
        <f>IF($A102="","",VLOOKUP($A102,TDS_Spending,'Machine Calculations'!Y$44-2003,FALSE))</f>
        <v/>
      </c>
      <c r="Z102" s="160" t="str">
        <f>IF($A102="","",VLOOKUP($A102,TDS_Spending,'Machine Calculations'!Z$44-2003,FALSE))</f>
        <v/>
      </c>
    </row>
    <row r="103" spans="1:26" x14ac:dyDescent="0.25">
      <c r="A103" t="str">
        <f>IF(Machine!B5="","",Machine!$B5)</f>
        <v/>
      </c>
      <c r="B103" s="160" t="str">
        <f>IF($A103="","",VLOOKUP($A103,TDS_Spending,'Machine Calculations'!B$44-2003,FALSE))</f>
        <v/>
      </c>
      <c r="C103" s="160" t="str">
        <f>IF($A103="","",VLOOKUP($A103,TDS_Spending,'Machine Calculations'!C$44-2003,FALSE))</f>
        <v/>
      </c>
      <c r="D103" s="160" t="str">
        <f>IF($A103="","",VLOOKUP($A103,TDS_Spending,'Machine Calculations'!D$44-2003,FALSE))</f>
        <v/>
      </c>
      <c r="E103" s="160" t="str">
        <f>IF($A103="","",VLOOKUP($A103,TDS_Spending,'Machine Calculations'!E$44-2003,FALSE))</f>
        <v/>
      </c>
      <c r="F103" s="160" t="str">
        <f>IF($A103="","",VLOOKUP($A103,TDS_Spending,'Machine Calculations'!F$44-2003,FALSE))</f>
        <v/>
      </c>
      <c r="G103" s="160" t="str">
        <f>IF($A103="","",VLOOKUP($A103,TDS_Spending,'Machine Calculations'!G$44-2003,FALSE))</f>
        <v/>
      </c>
      <c r="H103" s="160" t="str">
        <f>IF($A103="","",VLOOKUP($A103,TDS_Spending,'Machine Calculations'!H$44-2003,FALSE))</f>
        <v/>
      </c>
      <c r="I103" s="160" t="str">
        <f>IF($A103="","",VLOOKUP($A103,TDS_Spending,'Machine Calculations'!I$44-2003,FALSE))</f>
        <v/>
      </c>
      <c r="J103" s="160" t="str">
        <f>IF($A103="","",VLOOKUP($A103,TDS_Spending,'Machine Calculations'!J$44-2003,FALSE))</f>
        <v/>
      </c>
      <c r="K103" s="160" t="str">
        <f>IF($A103="","",VLOOKUP($A103,TDS_Spending,'Machine Calculations'!K$44-2003,FALSE))</f>
        <v/>
      </c>
      <c r="L103" s="160" t="str">
        <f>IF($A103="","",VLOOKUP($A103,TDS_Spending,'Machine Calculations'!L$44-2003,FALSE))</f>
        <v/>
      </c>
      <c r="M103" s="160" t="str">
        <f>IF($A103="","",VLOOKUP($A103,TDS_Spending,'Machine Calculations'!M$44-2003,FALSE))</f>
        <v/>
      </c>
      <c r="N103" s="160" t="str">
        <f>IF($A103="","",VLOOKUP($A103,TDS_Spending,'Machine Calculations'!N$44-2003,FALSE))</f>
        <v/>
      </c>
      <c r="O103" s="160" t="str">
        <f>IF($A103="","",VLOOKUP($A103,TDS_Spending,'Machine Calculations'!O$44-2003,FALSE))</f>
        <v/>
      </c>
      <c r="P103" s="160" t="str">
        <f>IF($A103="","",VLOOKUP($A103,TDS_Spending,'Machine Calculations'!P$44-2003,FALSE))</f>
        <v/>
      </c>
      <c r="Q103" s="160" t="str">
        <f>IF($A103="","",VLOOKUP($A103,TDS_Spending,'Machine Calculations'!Q$44-2003,FALSE))</f>
        <v/>
      </c>
      <c r="R103" s="160" t="str">
        <f>IF($A103="","",VLOOKUP($A103,TDS_Spending,'Machine Calculations'!R$44-2003,FALSE))</f>
        <v/>
      </c>
      <c r="S103" s="160" t="str">
        <f>IF($A103="","",VLOOKUP($A103,TDS_Spending,'Machine Calculations'!S$44-2003,FALSE))</f>
        <v/>
      </c>
      <c r="T103" s="160" t="str">
        <f>IF($A103="","",VLOOKUP($A103,TDS_Spending,'Machine Calculations'!T$44-2003,FALSE))</f>
        <v/>
      </c>
      <c r="U103" s="160" t="str">
        <f>IF($A103="","",VLOOKUP($A103,TDS_Spending,'Machine Calculations'!U$44-2003,FALSE))</f>
        <v/>
      </c>
      <c r="V103" s="160" t="str">
        <f>IF($A103="","",VLOOKUP($A103,TDS_Spending,'Machine Calculations'!V$44-2003,FALSE))</f>
        <v/>
      </c>
      <c r="W103" s="160" t="str">
        <f>IF($A103="","",VLOOKUP($A103,TDS_Spending,'Machine Calculations'!W$44-2003,FALSE))</f>
        <v/>
      </c>
      <c r="X103" s="160" t="str">
        <f>IF($A103="","",VLOOKUP($A103,TDS_Spending,'Machine Calculations'!X$44-2003,FALSE))</f>
        <v/>
      </c>
      <c r="Y103" s="160" t="str">
        <f>IF($A103="","",VLOOKUP($A103,TDS_Spending,'Machine Calculations'!Y$44-2003,FALSE))</f>
        <v/>
      </c>
      <c r="Z103" s="160" t="str">
        <f>IF($A103="","",VLOOKUP($A103,TDS_Spending,'Machine Calculations'!Z$44-2003,FALSE))</f>
        <v/>
      </c>
    </row>
    <row r="104" spans="1:26" x14ac:dyDescent="0.25">
      <c r="A104" t="str">
        <f>IF(Machine!B6="","",Machine!$B6)</f>
        <v/>
      </c>
      <c r="B104" s="160" t="str">
        <f>IF($A104="","",VLOOKUP($A104,TDS_Spending,'Machine Calculations'!B$44-2003,FALSE))</f>
        <v/>
      </c>
      <c r="C104" s="160" t="str">
        <f>IF($A104="","",VLOOKUP($A104,TDS_Spending,'Machine Calculations'!C$44-2003,FALSE))</f>
        <v/>
      </c>
      <c r="D104" s="160" t="str">
        <f>IF($A104="","",VLOOKUP($A104,TDS_Spending,'Machine Calculations'!D$44-2003,FALSE))</f>
        <v/>
      </c>
      <c r="E104" s="160" t="str">
        <f>IF($A104="","",VLOOKUP($A104,TDS_Spending,'Machine Calculations'!E$44-2003,FALSE))</f>
        <v/>
      </c>
      <c r="F104" s="160" t="str">
        <f>IF($A104="","",VLOOKUP($A104,TDS_Spending,'Machine Calculations'!F$44-2003,FALSE))</f>
        <v/>
      </c>
      <c r="G104" s="160" t="str">
        <f>IF($A104="","",VLOOKUP($A104,TDS_Spending,'Machine Calculations'!G$44-2003,FALSE))</f>
        <v/>
      </c>
      <c r="H104" s="160" t="str">
        <f>IF($A104="","",VLOOKUP($A104,TDS_Spending,'Machine Calculations'!H$44-2003,FALSE))</f>
        <v/>
      </c>
      <c r="I104" s="160" t="str">
        <f>IF($A104="","",VLOOKUP($A104,TDS_Spending,'Machine Calculations'!I$44-2003,FALSE))</f>
        <v/>
      </c>
      <c r="J104" s="160" t="str">
        <f>IF($A104="","",VLOOKUP($A104,TDS_Spending,'Machine Calculations'!J$44-2003,FALSE))</f>
        <v/>
      </c>
      <c r="K104" s="160" t="str">
        <f>IF($A104="","",VLOOKUP($A104,TDS_Spending,'Machine Calculations'!K$44-2003,FALSE))</f>
        <v/>
      </c>
      <c r="L104" s="160" t="str">
        <f>IF($A104="","",VLOOKUP($A104,TDS_Spending,'Machine Calculations'!L$44-2003,FALSE))</f>
        <v/>
      </c>
      <c r="M104" s="160" t="str">
        <f>IF($A104="","",VLOOKUP($A104,TDS_Spending,'Machine Calculations'!M$44-2003,FALSE))</f>
        <v/>
      </c>
      <c r="N104" s="160" t="str">
        <f>IF($A104="","",VLOOKUP($A104,TDS_Spending,'Machine Calculations'!N$44-2003,FALSE))</f>
        <v/>
      </c>
      <c r="O104" s="160" t="str">
        <f>IF($A104="","",VLOOKUP($A104,TDS_Spending,'Machine Calculations'!O$44-2003,FALSE))</f>
        <v/>
      </c>
      <c r="P104" s="160" t="str">
        <f>IF($A104="","",VLOOKUP($A104,TDS_Spending,'Machine Calculations'!P$44-2003,FALSE))</f>
        <v/>
      </c>
      <c r="Q104" s="160" t="str">
        <f>IF($A104="","",VLOOKUP($A104,TDS_Spending,'Machine Calculations'!Q$44-2003,FALSE))</f>
        <v/>
      </c>
      <c r="R104" s="160" t="str">
        <f>IF($A104="","",VLOOKUP($A104,TDS_Spending,'Machine Calculations'!R$44-2003,FALSE))</f>
        <v/>
      </c>
      <c r="S104" s="160" t="str">
        <f>IF($A104="","",VLOOKUP($A104,TDS_Spending,'Machine Calculations'!S$44-2003,FALSE))</f>
        <v/>
      </c>
      <c r="T104" s="160" t="str">
        <f>IF($A104="","",VLOOKUP($A104,TDS_Spending,'Machine Calculations'!T$44-2003,FALSE))</f>
        <v/>
      </c>
      <c r="U104" s="160" t="str">
        <f>IF($A104="","",VLOOKUP($A104,TDS_Spending,'Machine Calculations'!U$44-2003,FALSE))</f>
        <v/>
      </c>
      <c r="V104" s="160" t="str">
        <f>IF($A104="","",VLOOKUP($A104,TDS_Spending,'Machine Calculations'!V$44-2003,FALSE))</f>
        <v/>
      </c>
      <c r="W104" s="160" t="str">
        <f>IF($A104="","",VLOOKUP($A104,TDS_Spending,'Machine Calculations'!W$44-2003,FALSE))</f>
        <v/>
      </c>
      <c r="X104" s="160" t="str">
        <f>IF($A104="","",VLOOKUP($A104,TDS_Spending,'Machine Calculations'!X$44-2003,FALSE))</f>
        <v/>
      </c>
      <c r="Y104" s="160" t="str">
        <f>IF($A104="","",VLOOKUP($A104,TDS_Spending,'Machine Calculations'!Y$44-2003,FALSE))</f>
        <v/>
      </c>
      <c r="Z104" s="160" t="str">
        <f>IF($A104="","",VLOOKUP($A104,TDS_Spending,'Machine Calculations'!Z$44-2003,FALSE))</f>
        <v/>
      </c>
    </row>
    <row r="106" spans="1:26" x14ac:dyDescent="0.25">
      <c r="A106" s="39" t="s">
        <v>413</v>
      </c>
      <c r="B106" t="str">
        <f>IF(COUNTA(Machine!$D$25:$D$26)=0,"","OTDS Limits at "&amp;Machine!$D$25*100&amp;"% Developing and "&amp;Machine!$D$26*100&amp;"% Developed of "&amp;IF(Machine!$D$23="Average","Average "&amp;Machine!$C$24&amp;"-"&amp;Machine!$D$24,Machine!D23)&amp;" Value of Production")</f>
        <v>OTDS Limits at 22% Developing and 20% Developed of Average 2006-2016 Value of Production</v>
      </c>
    </row>
    <row r="110" spans="1:26" x14ac:dyDescent="0.25">
      <c r="A110" s="203" t="s">
        <v>217</v>
      </c>
      <c r="B110" s="203"/>
      <c r="C110" s="203"/>
    </row>
    <row r="111" spans="1:26" x14ac:dyDescent="0.25">
      <c r="A111" t="s">
        <v>161</v>
      </c>
      <c r="B111" t="s">
        <v>214</v>
      </c>
      <c r="C111" t="s">
        <v>215</v>
      </c>
      <c r="D111" t="s">
        <v>216</v>
      </c>
    </row>
    <row r="112" spans="1:26" x14ac:dyDescent="0.25">
      <c r="A112" t="str">
        <f>IF(Machine!B3="","",Machine!B3)</f>
        <v>Japan</v>
      </c>
      <c r="B112" s="48">
        <f>IF(Machine!$C$29="%+",VLOOKUP(A112,$A$38:$E$42,5,FALSE)+Machine!$D$29*2,VLOOKUP(A112,$A$38:$E$42,5,FALSE)-Machine!$D$29*2)</f>
        <v>0.1</v>
      </c>
      <c r="C112" s="51">
        <f>IF(Machine!$C$30="m$+",VLOOKUP(A112,AMS_Limits,2,FALSE)+Machine!$D$30*1000000,VLOOKUP(A112,AMS_Limits,2,FALSE)-Machine!$D$30*1000000)</f>
        <v>40297791111.95343</v>
      </c>
    </row>
    <row r="113" spans="1:26" x14ac:dyDescent="0.25">
      <c r="A113" t="str">
        <f>IF(Machine!B4="","",Machine!B4)</f>
        <v/>
      </c>
      <c r="B113" s="48" t="e">
        <f>IF(Machine!$C$29="%+",VLOOKUP(A113,$A$38:$E$42,5,FALSE)+Machine!$D$29*2,VLOOKUP(A113,$A$38:$E$42,5,FALSE)-Machine!$D$29*2)</f>
        <v>#VALUE!</v>
      </c>
      <c r="C113" s="51" t="e">
        <f>IF(Machine!$C$30="m$+",VLOOKUP(A113,AMS_Limits,2,FALSE)+Machine!$D$30*1000000,VLOOKUP(A113,AMS_Limits,2,FALSE)-Machine!$D$30*1000000)</f>
        <v>#N/A</v>
      </c>
    </row>
    <row r="114" spans="1:26" x14ac:dyDescent="0.25">
      <c r="A114" t="str">
        <f>IF(Machine!B5="","",Machine!B5)</f>
        <v/>
      </c>
      <c r="B114" s="48" t="e">
        <f>IF(Machine!$C$29="%+",VLOOKUP(A114,$A$38:$E$42,5,FALSE)+Machine!$D$29*2,VLOOKUP(A114,$A$38:$E$42,5,FALSE)-Machine!$D$29*2)</f>
        <v>#VALUE!</v>
      </c>
      <c r="C114" s="51" t="e">
        <f>IF(Machine!$C$30="m$+",VLOOKUP(A114,AMS_Limits,2,FALSE)+Machine!$D$30*1000000,VLOOKUP(A114,AMS_Limits,2,FALSE)-Machine!$D$30*1000000)</f>
        <v>#N/A</v>
      </c>
    </row>
    <row r="115" spans="1:26" x14ac:dyDescent="0.25">
      <c r="A115" t="str">
        <f>IF(Machine!B6="","",Machine!B6)</f>
        <v/>
      </c>
      <c r="B115" s="48" t="e">
        <f>IF(Machine!$C$29="%+",VLOOKUP(A115,$A$38:$E$42,5,FALSE)+Machine!$D$29*2,VLOOKUP(A115,$A$38:$E$42,5,FALSE)-Machine!$D$29*2)</f>
        <v>#VALUE!</v>
      </c>
      <c r="C115" s="51" t="e">
        <f>IF(Machine!$C$30="m$+",VLOOKUP(A115,AMS_Limits,2,FALSE)+Machine!$D$30*1000000,VLOOKUP(A115,AMS_Limits,2,FALSE)-Machine!$D$30*1000000)</f>
        <v>#N/A</v>
      </c>
    </row>
    <row r="117" spans="1:26" x14ac:dyDescent="0.25">
      <c r="A117" s="203" t="s">
        <v>416</v>
      </c>
      <c r="B117" s="203"/>
      <c r="C117" s="203"/>
    </row>
    <row r="118" spans="1:26" x14ac:dyDescent="0.25">
      <c r="A118" t="s">
        <v>161</v>
      </c>
      <c r="B118" t="s">
        <v>219</v>
      </c>
      <c r="C118" t="s">
        <v>220</v>
      </c>
    </row>
    <row r="119" spans="1:26" x14ac:dyDescent="0.25">
      <c r="A119" t="str">
        <f>A112</f>
        <v>Japan</v>
      </c>
      <c r="B119" s="48">
        <f>IF(B112&lt;0,0,B112)</f>
        <v>0.1</v>
      </c>
      <c r="C119" s="51">
        <f>IF(C112&lt;0,0,C112)</f>
        <v>40297791111.95343</v>
      </c>
    </row>
    <row r="120" spans="1:26" x14ac:dyDescent="0.25">
      <c r="A120" t="str">
        <f t="shared" ref="A120:A122" si="15">A113</f>
        <v/>
      </c>
      <c r="B120" s="48" t="e">
        <f t="shared" ref="B120:C122" si="16">IF(B113&lt;0,0,B113)</f>
        <v>#VALUE!</v>
      </c>
      <c r="C120" s="51" t="e">
        <f t="shared" si="16"/>
        <v>#N/A</v>
      </c>
    </row>
    <row r="121" spans="1:26" x14ac:dyDescent="0.25">
      <c r="A121" t="str">
        <f t="shared" si="15"/>
        <v/>
      </c>
      <c r="B121" s="48" t="e">
        <f t="shared" si="16"/>
        <v>#VALUE!</v>
      </c>
      <c r="C121" s="51" t="e">
        <f t="shared" si="16"/>
        <v>#N/A</v>
      </c>
    </row>
    <row r="122" spans="1:26" x14ac:dyDescent="0.25">
      <c r="A122" t="str">
        <f t="shared" si="15"/>
        <v/>
      </c>
      <c r="B122" s="48" t="e">
        <f t="shared" si="16"/>
        <v>#VALUE!</v>
      </c>
      <c r="C122" s="51" t="e">
        <f t="shared" si="16"/>
        <v>#N/A</v>
      </c>
    </row>
    <row r="123" spans="1:26" x14ac:dyDescent="0.25">
      <c r="B123" s="48"/>
      <c r="C123" s="51"/>
    </row>
    <row r="124" spans="1:26" x14ac:dyDescent="0.25">
      <c r="A124" s="203" t="s">
        <v>224</v>
      </c>
      <c r="B124" s="203"/>
      <c r="C124" s="203"/>
    </row>
    <row r="125" spans="1:26" x14ac:dyDescent="0.25">
      <c r="A125" t="s">
        <v>161</v>
      </c>
      <c r="B125">
        <v>2006</v>
      </c>
      <c r="C125">
        <v>2007</v>
      </c>
      <c r="D125">
        <v>2008</v>
      </c>
      <c r="E125">
        <v>2009</v>
      </c>
      <c r="F125">
        <v>2010</v>
      </c>
      <c r="G125">
        <v>2011</v>
      </c>
      <c r="H125">
        <v>2012</v>
      </c>
      <c r="I125">
        <v>2013</v>
      </c>
      <c r="J125">
        <v>2014</v>
      </c>
      <c r="K125">
        <v>2015</v>
      </c>
      <c r="L125">
        <v>2016</v>
      </c>
      <c r="M125">
        <v>2017</v>
      </c>
      <c r="N125">
        <v>2018</v>
      </c>
      <c r="O125">
        <v>2019</v>
      </c>
      <c r="P125">
        <v>2020</v>
      </c>
      <c r="Q125">
        <v>2021</v>
      </c>
      <c r="R125">
        <v>2022</v>
      </c>
      <c r="S125">
        <v>2023</v>
      </c>
      <c r="T125">
        <v>2024</v>
      </c>
      <c r="U125">
        <v>2025</v>
      </c>
      <c r="V125">
        <v>2026</v>
      </c>
      <c r="W125">
        <v>2027</v>
      </c>
      <c r="X125">
        <v>2028</v>
      </c>
      <c r="Y125">
        <v>2029</v>
      </c>
      <c r="Z125">
        <v>2030</v>
      </c>
    </row>
    <row r="126" spans="1:26" x14ac:dyDescent="0.25">
      <c r="A126" t="str">
        <f>A112</f>
        <v>Japan</v>
      </c>
      <c r="B126" s="86" t="str">
        <f>IF(COUNTA(Machine!$D$29:$D$31)=0,"",VLOOKUP($A126,VoP,B$125-2004,FALSE)*VLOOKUP($A126,Mod_AoA_2,2,FALSE)+VLOOKUP($A126,Mod_AoA_2,3,FALSE))</f>
        <v/>
      </c>
      <c r="C126" s="86" t="str">
        <f>IF(COUNTA(Machine!$D$29:$D$31)=0,"",VLOOKUP($A126,VoP,C$125-2004,FALSE)*VLOOKUP($A126,Mod_AoA_2,2,FALSE)+VLOOKUP($A126,Mod_AoA_2,3,FALSE))</f>
        <v/>
      </c>
      <c r="D126" s="86" t="str">
        <f>IF(COUNTA(Machine!$D$29:$D$31)=0,"",VLOOKUP($A126,VoP,D$125-2004,FALSE)*VLOOKUP($A126,Mod_AoA_2,2,FALSE)+VLOOKUP($A126,Mod_AoA_2,3,FALSE))</f>
        <v/>
      </c>
      <c r="E126" s="86" t="str">
        <f>IF(COUNTA(Machine!$D$29:$D$31)=0,"",VLOOKUP($A126,VoP,E$125-2004,FALSE)*VLOOKUP($A126,Mod_AoA_2,2,FALSE)+VLOOKUP($A126,Mod_AoA_2,3,FALSE))</f>
        <v/>
      </c>
      <c r="F126" s="86" t="str">
        <f>IF(COUNTA(Machine!$D$29:$D$31)=0,"",VLOOKUP($A126,VoP,F$125-2004,FALSE)*VLOOKUP($A126,Mod_AoA_2,2,FALSE)+VLOOKUP($A126,Mod_AoA_2,3,FALSE))</f>
        <v/>
      </c>
      <c r="G126" s="86" t="str">
        <f>IF(COUNTA(Machine!$D$29:$D$31)=0,"",VLOOKUP($A126,VoP,G$125-2004,FALSE)*VLOOKUP($A126,Mod_AoA_2,2,FALSE)+VLOOKUP($A126,Mod_AoA_2,3,FALSE))</f>
        <v/>
      </c>
      <c r="H126" s="86" t="str">
        <f>IF(COUNTA(Machine!$D$29:$D$31)=0,"",VLOOKUP($A126,VoP,H$125-2004,FALSE)*VLOOKUP($A126,Mod_AoA_2,2,FALSE)+VLOOKUP($A126,Mod_AoA_2,3,FALSE))</f>
        <v/>
      </c>
      <c r="I126" s="86" t="str">
        <f>IF(COUNTA(Machine!$D$29:$D$31)=0,"",VLOOKUP($A126,VoP,I$125-2004,FALSE)*VLOOKUP($A126,Mod_AoA_2,2,FALSE)+VLOOKUP($A126,Mod_AoA_2,3,FALSE))</f>
        <v/>
      </c>
      <c r="J126" s="86" t="str">
        <f>IF(COUNTA(Machine!$D$29:$D$31)=0,"",VLOOKUP($A126,VoP,J$125-2004,FALSE)*VLOOKUP($A126,Mod_AoA_2,2,FALSE)+VLOOKUP($A126,Mod_AoA_2,3,FALSE))</f>
        <v/>
      </c>
      <c r="K126" s="86" t="str">
        <f>IF(COUNTA(Machine!$D$29:$D$31)=0,"",VLOOKUP($A126,VoP,K$125-2004,FALSE)*VLOOKUP($A126,Mod_AoA_2,2,FALSE)+VLOOKUP($A126,Mod_AoA_2,3,FALSE))</f>
        <v/>
      </c>
      <c r="L126" s="86" t="str">
        <f>IF(COUNTA(Machine!$D$29:$D$31)=0,"",VLOOKUP($A126,VoP,L$125-2004,FALSE)*VLOOKUP($A126,Mod_AoA_2,2,FALSE)+VLOOKUP($A126,Mod_AoA_2,3,FALSE))</f>
        <v/>
      </c>
      <c r="M126" s="86" t="str">
        <f>IF(COUNTA(Machine!$D$29:$D$31)=0,"",VLOOKUP($A126,VoP,M$125-2004,FALSE)*VLOOKUP($A126,Mod_AoA_2,2,FALSE)+VLOOKUP($A126,Mod_AoA_2,3,FALSE))</f>
        <v/>
      </c>
      <c r="N126" s="86" t="str">
        <f>IF(COUNTA(Machine!$D$29:$D$31)=0,"",VLOOKUP($A126,VoP,N$125-2004,FALSE)*VLOOKUP($A126,Mod_AoA_2,2,FALSE)+VLOOKUP($A126,Mod_AoA_2,3,FALSE))</f>
        <v/>
      </c>
      <c r="O126" s="86" t="str">
        <f>IF(COUNTA(Machine!$D$29:$D$31)=0,"",VLOOKUP($A126,VoP,O$125-2004,FALSE)*VLOOKUP($A126,Mod_AoA_2,2,FALSE)+VLOOKUP($A126,Mod_AoA_2,3,FALSE))</f>
        <v/>
      </c>
      <c r="P126" s="86" t="str">
        <f>IF(COUNTA(Machine!$D$29:$D$31)=0,"",VLOOKUP($A126,VoP,P$125-2004,FALSE)*VLOOKUP($A126,Mod_AoA_2,2,FALSE)+VLOOKUP($A126,Mod_AoA_2,3,FALSE))</f>
        <v/>
      </c>
      <c r="Q126" s="86" t="str">
        <f>IF(COUNTA(Machine!$D$29:$D$31)=0,"",VLOOKUP($A126,VoP,Q$125-2004,FALSE)*VLOOKUP($A126,Mod_AoA_2,2,FALSE)+VLOOKUP($A126,Mod_AoA_2,3,FALSE))</f>
        <v/>
      </c>
      <c r="R126" s="86" t="str">
        <f>IF(COUNTA(Machine!$D$29:$D$31)=0,"",VLOOKUP($A126,VoP,R$125-2004,FALSE)*VLOOKUP($A126,Mod_AoA_2,2,FALSE)+VLOOKUP($A126,Mod_AoA_2,3,FALSE))</f>
        <v/>
      </c>
      <c r="S126" s="86" t="str">
        <f>IF(COUNTA(Machine!$D$29:$D$31)=0,"",VLOOKUP($A126,VoP,S$125-2004,FALSE)*VLOOKUP($A126,Mod_AoA_2,2,FALSE)+VLOOKUP($A126,Mod_AoA_2,3,FALSE))</f>
        <v/>
      </c>
      <c r="T126" s="86" t="str">
        <f>IF(COUNTA(Machine!$D$29:$D$31)=0,"",VLOOKUP($A126,VoP,T$125-2004,FALSE)*VLOOKUP($A126,Mod_AoA_2,2,FALSE)+VLOOKUP($A126,Mod_AoA_2,3,FALSE))</f>
        <v/>
      </c>
      <c r="U126" s="86" t="str">
        <f>IF(COUNTA(Machine!$D$29:$D$31)=0,"",VLOOKUP($A126,VoP,U$125-2004,FALSE)*VLOOKUP($A126,Mod_AoA_2,2,FALSE)+VLOOKUP($A126,Mod_AoA_2,3,FALSE))</f>
        <v/>
      </c>
      <c r="V126" s="86" t="str">
        <f>IF(COUNTA(Machine!$D$29:$D$31)=0,"",VLOOKUP($A126,VoP,V$125-2004,FALSE)*VLOOKUP($A126,Mod_AoA_2,2,FALSE)+VLOOKUP($A126,Mod_AoA_2,3,FALSE))</f>
        <v/>
      </c>
      <c r="W126" s="86" t="str">
        <f>IF(COUNTA(Machine!$D$29:$D$31)=0,"",VLOOKUP($A126,VoP,W$125-2004,FALSE)*VLOOKUP($A126,Mod_AoA_2,2,FALSE)+VLOOKUP($A126,Mod_AoA_2,3,FALSE))</f>
        <v/>
      </c>
      <c r="X126" s="86" t="str">
        <f>IF(COUNTA(Machine!$D$29:$D$31)=0,"",VLOOKUP($A126,VoP,X$125-2004,FALSE)*VLOOKUP($A126,Mod_AoA_2,2,FALSE)+VLOOKUP($A126,Mod_AoA_2,3,FALSE))</f>
        <v/>
      </c>
      <c r="Y126" s="86" t="str">
        <f>IF(COUNTA(Machine!$D$29:$D$31)=0,"",VLOOKUP($A126,VoP,Y$125-2004,FALSE)*VLOOKUP($A126,Mod_AoA_2,2,FALSE)+VLOOKUP($A126,Mod_AoA_2,3,FALSE))</f>
        <v/>
      </c>
      <c r="Z126" s="86" t="str">
        <f>IF(COUNTA(Machine!$D$29:$D$31)=0,"",VLOOKUP($A126,VoP,Z$125-2004,FALSE)*VLOOKUP($A126,Mod_AoA_2,2,FALSE)+VLOOKUP($A126,Mod_AoA_2,3,FALSE))</f>
        <v/>
      </c>
    </row>
    <row r="127" spans="1:26" x14ac:dyDescent="0.25">
      <c r="A127" t="str">
        <f>A113</f>
        <v/>
      </c>
      <c r="B127" s="86" t="str">
        <f>IF(COUNTA(Machine!$D$29:$D$31)=0,"",VLOOKUP($A127,VoP,B$125-2004,FALSE)*VLOOKUP($A127,Mod_AoA_2,2,FALSE)+VLOOKUP($A127,Mod_AoA_2,3,FALSE))</f>
        <v/>
      </c>
      <c r="C127" s="86" t="str">
        <f>IF(COUNTA(Machine!$D$29:$D$31)=0,"",VLOOKUP($A127,VoP,C$125-2004,FALSE)*VLOOKUP($A127,Mod_AoA_2,2,FALSE)+VLOOKUP($A127,Mod_AoA_2,3,FALSE))</f>
        <v/>
      </c>
      <c r="D127" s="86" t="str">
        <f>IF(COUNTA(Machine!$D$29:$D$31)=0,"",VLOOKUP($A127,VoP,D$125-2004,FALSE)*VLOOKUP($A127,Mod_AoA_2,2,FALSE)+VLOOKUP($A127,Mod_AoA_2,3,FALSE))</f>
        <v/>
      </c>
      <c r="E127" s="86" t="str">
        <f>IF(COUNTA(Machine!$D$29:$D$31)=0,"",VLOOKUP($A127,VoP,E$125-2004,FALSE)*VLOOKUP($A127,Mod_AoA_2,2,FALSE)+VLOOKUP($A127,Mod_AoA_2,3,FALSE))</f>
        <v/>
      </c>
      <c r="F127" s="86" t="str">
        <f>IF(COUNTA(Machine!$D$29:$D$31)=0,"",VLOOKUP($A127,VoP,F$125-2004,FALSE)*VLOOKUP($A127,Mod_AoA_2,2,FALSE)+VLOOKUP($A127,Mod_AoA_2,3,FALSE))</f>
        <v/>
      </c>
      <c r="G127" s="86" t="str">
        <f>IF(COUNTA(Machine!$D$29:$D$31)=0,"",VLOOKUP($A127,VoP,G$125-2004,FALSE)*VLOOKUP($A127,Mod_AoA_2,2,FALSE)+VLOOKUP($A127,Mod_AoA_2,3,FALSE))</f>
        <v/>
      </c>
      <c r="H127" s="86" t="str">
        <f>IF(COUNTA(Machine!$D$29:$D$31)=0,"",VLOOKUP($A127,VoP,H$125-2004,FALSE)*VLOOKUP($A127,Mod_AoA_2,2,FALSE)+VLOOKUP($A127,Mod_AoA_2,3,FALSE))</f>
        <v/>
      </c>
      <c r="I127" s="86" t="str">
        <f>IF(COUNTA(Machine!$D$29:$D$31)=0,"",VLOOKUP($A127,VoP,I$125-2004,FALSE)*VLOOKUP($A127,Mod_AoA_2,2,FALSE)+VLOOKUP($A127,Mod_AoA_2,3,FALSE))</f>
        <v/>
      </c>
      <c r="J127" s="86" t="str">
        <f>IF(COUNTA(Machine!$D$29:$D$31)=0,"",VLOOKUP($A127,VoP,J$125-2004,FALSE)*VLOOKUP($A127,Mod_AoA_2,2,FALSE)+VLOOKUP($A127,Mod_AoA_2,3,FALSE))</f>
        <v/>
      </c>
      <c r="K127" s="86" t="str">
        <f>IF(COUNTA(Machine!$D$29:$D$31)=0,"",VLOOKUP($A127,VoP,K$125-2004,FALSE)*VLOOKUP($A127,Mod_AoA_2,2,FALSE)+VLOOKUP($A127,Mod_AoA_2,3,FALSE))</f>
        <v/>
      </c>
      <c r="L127" s="86" t="str">
        <f>IF(COUNTA(Machine!$D$29:$D$31)=0,"",VLOOKUP($A127,VoP,L$125-2004,FALSE)*VLOOKUP($A127,Mod_AoA_2,2,FALSE)+VLOOKUP($A127,Mod_AoA_2,3,FALSE))</f>
        <v/>
      </c>
      <c r="M127" s="86" t="str">
        <f>IF(COUNTA(Machine!$D$29:$D$31)=0,"",VLOOKUP($A127,VoP,M$125-2004,FALSE)*VLOOKUP($A127,Mod_AoA_2,2,FALSE)+VLOOKUP($A127,Mod_AoA_2,3,FALSE))</f>
        <v/>
      </c>
      <c r="N127" s="86" t="str">
        <f>IF(COUNTA(Machine!$D$29:$D$31)=0,"",VLOOKUP($A127,VoP,N$125-2004,FALSE)*VLOOKUP($A127,Mod_AoA_2,2,FALSE)+VLOOKUP($A127,Mod_AoA_2,3,FALSE))</f>
        <v/>
      </c>
      <c r="O127" s="86" t="str">
        <f>IF(COUNTA(Machine!$D$29:$D$31)=0,"",VLOOKUP($A127,VoP,O$125-2004,FALSE)*VLOOKUP($A127,Mod_AoA_2,2,FALSE)+VLOOKUP($A127,Mod_AoA_2,3,FALSE))</f>
        <v/>
      </c>
      <c r="P127" s="86" t="str">
        <f>IF(COUNTA(Machine!$D$29:$D$31)=0,"",VLOOKUP($A127,VoP,P$125-2004,FALSE)*VLOOKUP($A127,Mod_AoA_2,2,FALSE)+VLOOKUP($A127,Mod_AoA_2,3,FALSE))</f>
        <v/>
      </c>
      <c r="Q127" s="86" t="str">
        <f>IF(COUNTA(Machine!$D$29:$D$31)=0,"",VLOOKUP($A127,VoP,Q$125-2004,FALSE)*VLOOKUP($A127,Mod_AoA_2,2,FALSE)+VLOOKUP($A127,Mod_AoA_2,3,FALSE))</f>
        <v/>
      </c>
      <c r="R127" s="86" t="str">
        <f>IF(COUNTA(Machine!$D$29:$D$31)=0,"",VLOOKUP($A127,VoP,R$125-2004,FALSE)*VLOOKUP($A127,Mod_AoA_2,2,FALSE)+VLOOKUP($A127,Mod_AoA_2,3,FALSE))</f>
        <v/>
      </c>
      <c r="S127" s="86" t="str">
        <f>IF(COUNTA(Machine!$D$29:$D$31)=0,"",VLOOKUP($A127,VoP,S$125-2004,FALSE)*VLOOKUP($A127,Mod_AoA_2,2,FALSE)+VLOOKUP($A127,Mod_AoA_2,3,FALSE))</f>
        <v/>
      </c>
      <c r="T127" s="86" t="str">
        <f>IF(COUNTA(Machine!$D$29:$D$31)=0,"",VLOOKUP($A127,VoP,T$125-2004,FALSE)*VLOOKUP($A127,Mod_AoA_2,2,FALSE)+VLOOKUP($A127,Mod_AoA_2,3,FALSE))</f>
        <v/>
      </c>
      <c r="U127" s="86" t="str">
        <f>IF(COUNTA(Machine!$D$29:$D$31)=0,"",VLOOKUP($A127,VoP,U$125-2004,FALSE)*VLOOKUP($A127,Mod_AoA_2,2,FALSE)+VLOOKUP($A127,Mod_AoA_2,3,FALSE))</f>
        <v/>
      </c>
      <c r="V127" s="86" t="str">
        <f>IF(COUNTA(Machine!$D$29:$D$31)=0,"",VLOOKUP($A127,VoP,V$125-2004,FALSE)*VLOOKUP($A127,Mod_AoA_2,2,FALSE)+VLOOKUP($A127,Mod_AoA_2,3,FALSE))</f>
        <v/>
      </c>
      <c r="W127" s="86" t="str">
        <f>IF(COUNTA(Machine!$D$29:$D$31)=0,"",VLOOKUP($A127,VoP,W$125-2004,FALSE)*VLOOKUP($A127,Mod_AoA_2,2,FALSE)+VLOOKUP($A127,Mod_AoA_2,3,FALSE))</f>
        <v/>
      </c>
      <c r="X127" s="86" t="str">
        <f>IF(COUNTA(Machine!$D$29:$D$31)=0,"",VLOOKUP($A127,VoP,X$125-2004,FALSE)*VLOOKUP($A127,Mod_AoA_2,2,FALSE)+VLOOKUP($A127,Mod_AoA_2,3,FALSE))</f>
        <v/>
      </c>
      <c r="Y127" s="86" t="str">
        <f>IF(COUNTA(Machine!$D$29:$D$31)=0,"",VLOOKUP($A127,VoP,Y$125-2004,FALSE)*VLOOKUP($A127,Mod_AoA_2,2,FALSE)+VLOOKUP($A127,Mod_AoA_2,3,FALSE))</f>
        <v/>
      </c>
      <c r="Z127" s="86" t="str">
        <f>IF(COUNTA(Machine!$D$29:$D$31)=0,"",VLOOKUP($A127,VoP,Z$125-2004,FALSE)*VLOOKUP($A127,Mod_AoA_2,2,FALSE)+VLOOKUP($A127,Mod_AoA_2,3,FALSE))</f>
        <v/>
      </c>
    </row>
    <row r="128" spans="1:26" x14ac:dyDescent="0.25">
      <c r="A128" t="str">
        <f>A114</f>
        <v/>
      </c>
      <c r="B128" s="86" t="str">
        <f>IF(COUNTA(Machine!$D$29:$D$31)=0,"",VLOOKUP($A128,VoP,B$125-2004,FALSE)*VLOOKUP($A128,Mod_AoA_2,2,FALSE)+VLOOKUP($A128,Mod_AoA_2,3,FALSE))</f>
        <v/>
      </c>
      <c r="C128" s="86" t="str">
        <f>IF(COUNTA(Machine!$D$29:$D$31)=0,"",VLOOKUP($A128,VoP,C$125-2004,FALSE)*VLOOKUP($A128,Mod_AoA_2,2,FALSE)+VLOOKUP($A128,Mod_AoA_2,3,FALSE))</f>
        <v/>
      </c>
      <c r="D128" s="86" t="str">
        <f>IF(COUNTA(Machine!$D$29:$D$31)=0,"",VLOOKUP($A128,VoP,D$125-2004,FALSE)*VLOOKUP($A128,Mod_AoA_2,2,FALSE)+VLOOKUP($A128,Mod_AoA_2,3,FALSE))</f>
        <v/>
      </c>
      <c r="E128" s="86" t="str">
        <f>IF(COUNTA(Machine!$D$29:$D$31)=0,"",VLOOKUP($A128,VoP,E$125-2004,FALSE)*VLOOKUP($A128,Mod_AoA_2,2,FALSE)+VLOOKUP($A128,Mod_AoA_2,3,FALSE))</f>
        <v/>
      </c>
      <c r="F128" s="86" t="str">
        <f>IF(COUNTA(Machine!$D$29:$D$31)=0,"",VLOOKUP($A128,VoP,F$125-2004,FALSE)*VLOOKUP($A128,Mod_AoA_2,2,FALSE)+VLOOKUP($A128,Mod_AoA_2,3,FALSE))</f>
        <v/>
      </c>
      <c r="G128" s="86" t="str">
        <f>IF(COUNTA(Machine!$D$29:$D$31)=0,"",VLOOKUP($A128,VoP,G$125-2004,FALSE)*VLOOKUP($A128,Mod_AoA_2,2,FALSE)+VLOOKUP($A128,Mod_AoA_2,3,FALSE))</f>
        <v/>
      </c>
      <c r="H128" s="86" t="str">
        <f>IF(COUNTA(Machine!$D$29:$D$31)=0,"",VLOOKUP($A128,VoP,H$125-2004,FALSE)*VLOOKUP($A128,Mod_AoA_2,2,FALSE)+VLOOKUP($A128,Mod_AoA_2,3,FALSE))</f>
        <v/>
      </c>
      <c r="I128" s="86" t="str">
        <f>IF(COUNTA(Machine!$D$29:$D$31)=0,"",VLOOKUP($A128,VoP,I$125-2004,FALSE)*VLOOKUP($A128,Mod_AoA_2,2,FALSE)+VLOOKUP($A128,Mod_AoA_2,3,FALSE))</f>
        <v/>
      </c>
      <c r="J128" s="86" t="str">
        <f>IF(COUNTA(Machine!$D$29:$D$31)=0,"",VLOOKUP($A128,VoP,J$125-2004,FALSE)*VLOOKUP($A128,Mod_AoA_2,2,FALSE)+VLOOKUP($A128,Mod_AoA_2,3,FALSE))</f>
        <v/>
      </c>
      <c r="K128" s="86" t="str">
        <f>IF(COUNTA(Machine!$D$29:$D$31)=0,"",VLOOKUP($A128,VoP,K$125-2004,FALSE)*VLOOKUP($A128,Mod_AoA_2,2,FALSE)+VLOOKUP($A128,Mod_AoA_2,3,FALSE))</f>
        <v/>
      </c>
      <c r="L128" s="86" t="str">
        <f>IF(COUNTA(Machine!$D$29:$D$31)=0,"",VLOOKUP($A128,VoP,L$125-2004,FALSE)*VLOOKUP($A128,Mod_AoA_2,2,FALSE)+VLOOKUP($A128,Mod_AoA_2,3,FALSE))</f>
        <v/>
      </c>
      <c r="M128" s="86" t="str">
        <f>IF(COUNTA(Machine!$D$29:$D$31)=0,"",VLOOKUP($A128,VoP,M$125-2004,FALSE)*VLOOKUP($A128,Mod_AoA_2,2,FALSE)+VLOOKUP($A128,Mod_AoA_2,3,FALSE))</f>
        <v/>
      </c>
      <c r="N128" s="86" t="str">
        <f>IF(COUNTA(Machine!$D$29:$D$31)=0,"",VLOOKUP($A128,VoP,N$125-2004,FALSE)*VLOOKUP($A128,Mod_AoA_2,2,FALSE)+VLOOKUP($A128,Mod_AoA_2,3,FALSE))</f>
        <v/>
      </c>
      <c r="O128" s="86" t="str">
        <f>IF(COUNTA(Machine!$D$29:$D$31)=0,"",VLOOKUP($A128,VoP,O$125-2004,FALSE)*VLOOKUP($A128,Mod_AoA_2,2,FALSE)+VLOOKUP($A128,Mod_AoA_2,3,FALSE))</f>
        <v/>
      </c>
      <c r="P128" s="86" t="str">
        <f>IF(COUNTA(Machine!$D$29:$D$31)=0,"",VLOOKUP($A128,VoP,P$125-2004,FALSE)*VLOOKUP($A128,Mod_AoA_2,2,FALSE)+VLOOKUP($A128,Mod_AoA_2,3,FALSE))</f>
        <v/>
      </c>
      <c r="Q128" s="86" t="str">
        <f>IF(COUNTA(Machine!$D$29:$D$31)=0,"",VLOOKUP($A128,VoP,Q$125-2004,FALSE)*VLOOKUP($A128,Mod_AoA_2,2,FALSE)+VLOOKUP($A128,Mod_AoA_2,3,FALSE))</f>
        <v/>
      </c>
      <c r="R128" s="86" t="str">
        <f>IF(COUNTA(Machine!$D$29:$D$31)=0,"",VLOOKUP($A128,VoP,R$125-2004,FALSE)*VLOOKUP($A128,Mod_AoA_2,2,FALSE)+VLOOKUP($A128,Mod_AoA_2,3,FALSE))</f>
        <v/>
      </c>
      <c r="S128" s="86" t="str">
        <f>IF(COUNTA(Machine!$D$29:$D$31)=0,"",VLOOKUP($A128,VoP,S$125-2004,FALSE)*VLOOKUP($A128,Mod_AoA_2,2,FALSE)+VLOOKUP($A128,Mod_AoA_2,3,FALSE))</f>
        <v/>
      </c>
      <c r="T128" s="86" t="str">
        <f>IF(COUNTA(Machine!$D$29:$D$31)=0,"",VLOOKUP($A128,VoP,T$125-2004,FALSE)*VLOOKUP($A128,Mod_AoA_2,2,FALSE)+VLOOKUP($A128,Mod_AoA_2,3,FALSE))</f>
        <v/>
      </c>
      <c r="U128" s="86" t="str">
        <f>IF(COUNTA(Machine!$D$29:$D$31)=0,"",VLOOKUP($A128,VoP,U$125-2004,FALSE)*VLOOKUP($A128,Mod_AoA_2,2,FALSE)+VLOOKUP($A128,Mod_AoA_2,3,FALSE))</f>
        <v/>
      </c>
      <c r="V128" s="86" t="str">
        <f>IF(COUNTA(Machine!$D$29:$D$31)=0,"",VLOOKUP($A128,VoP,V$125-2004,FALSE)*VLOOKUP($A128,Mod_AoA_2,2,FALSE)+VLOOKUP($A128,Mod_AoA_2,3,FALSE))</f>
        <v/>
      </c>
      <c r="W128" s="86" t="str">
        <f>IF(COUNTA(Machine!$D$29:$D$31)=0,"",VLOOKUP($A128,VoP,W$125-2004,FALSE)*VLOOKUP($A128,Mod_AoA_2,2,FALSE)+VLOOKUP($A128,Mod_AoA_2,3,FALSE))</f>
        <v/>
      </c>
      <c r="X128" s="86" t="str">
        <f>IF(COUNTA(Machine!$D$29:$D$31)=0,"",VLOOKUP($A128,VoP,X$125-2004,FALSE)*VLOOKUP($A128,Mod_AoA_2,2,FALSE)+VLOOKUP($A128,Mod_AoA_2,3,FALSE))</f>
        <v/>
      </c>
      <c r="Y128" s="86" t="str">
        <f>IF(COUNTA(Machine!$D$29:$D$31)=0,"",VLOOKUP($A128,VoP,Y$125-2004,FALSE)*VLOOKUP($A128,Mod_AoA_2,2,FALSE)+VLOOKUP($A128,Mod_AoA_2,3,FALSE))</f>
        <v/>
      </c>
      <c r="Z128" s="86" t="str">
        <f>IF(COUNTA(Machine!$D$29:$D$31)=0,"",VLOOKUP($A128,VoP,Z$125-2004,FALSE)*VLOOKUP($A128,Mod_AoA_2,2,FALSE)+VLOOKUP($A128,Mod_AoA_2,3,FALSE))</f>
        <v/>
      </c>
    </row>
    <row r="129" spans="1:26" x14ac:dyDescent="0.25">
      <c r="A129" t="str">
        <f>A115</f>
        <v/>
      </c>
      <c r="B129" s="86" t="str">
        <f>IF(COUNTA(Machine!$D$29:$D$31)=0,"",VLOOKUP($A129,VoP,B$125-2004,FALSE)*VLOOKUP($A129,Mod_AoA_2,2,FALSE)+VLOOKUP($A129,Mod_AoA_2,3,FALSE))</f>
        <v/>
      </c>
      <c r="C129" s="86" t="str">
        <f>IF(COUNTA(Machine!$D$29:$D$31)=0,"",VLOOKUP($A129,VoP,C$125-2004,FALSE)*VLOOKUP($A129,Mod_AoA_2,2,FALSE)+VLOOKUP($A129,Mod_AoA_2,3,FALSE))</f>
        <v/>
      </c>
      <c r="D129" s="86" t="str">
        <f>IF(COUNTA(Machine!$D$29:$D$31)=0,"",VLOOKUP($A129,VoP,D$125-2004,FALSE)*VLOOKUP($A129,Mod_AoA_2,2,FALSE)+VLOOKUP($A129,Mod_AoA_2,3,FALSE))</f>
        <v/>
      </c>
      <c r="E129" s="86" t="str">
        <f>IF(COUNTA(Machine!$D$29:$D$31)=0,"",VLOOKUP($A129,VoP,E$125-2004,FALSE)*VLOOKUP($A129,Mod_AoA_2,2,FALSE)+VLOOKUP($A129,Mod_AoA_2,3,FALSE))</f>
        <v/>
      </c>
      <c r="F129" s="86" t="str">
        <f>IF(COUNTA(Machine!$D$29:$D$31)=0,"",VLOOKUP($A129,VoP,F$125-2004,FALSE)*VLOOKUP($A129,Mod_AoA_2,2,FALSE)+VLOOKUP($A129,Mod_AoA_2,3,FALSE))</f>
        <v/>
      </c>
      <c r="G129" s="86" t="str">
        <f>IF(COUNTA(Machine!$D$29:$D$31)=0,"",VLOOKUP($A129,VoP,G$125-2004,FALSE)*VLOOKUP($A129,Mod_AoA_2,2,FALSE)+VLOOKUP($A129,Mod_AoA_2,3,FALSE))</f>
        <v/>
      </c>
      <c r="H129" s="86" t="str">
        <f>IF(COUNTA(Machine!$D$29:$D$31)=0,"",VLOOKUP($A129,VoP,H$125-2004,FALSE)*VLOOKUP($A129,Mod_AoA_2,2,FALSE)+VLOOKUP($A129,Mod_AoA_2,3,FALSE))</f>
        <v/>
      </c>
      <c r="I129" s="86" t="str">
        <f>IF(COUNTA(Machine!$D$29:$D$31)=0,"",VLOOKUP($A129,VoP,I$125-2004,FALSE)*VLOOKUP($A129,Mod_AoA_2,2,FALSE)+VLOOKUP($A129,Mod_AoA_2,3,FALSE))</f>
        <v/>
      </c>
      <c r="J129" s="86" t="str">
        <f>IF(COUNTA(Machine!$D$29:$D$31)=0,"",VLOOKUP($A129,VoP,J$125-2004,FALSE)*VLOOKUP($A129,Mod_AoA_2,2,FALSE)+VLOOKUP($A129,Mod_AoA_2,3,FALSE))</f>
        <v/>
      </c>
      <c r="K129" s="86" t="str">
        <f>IF(COUNTA(Machine!$D$29:$D$31)=0,"",VLOOKUP($A129,VoP,K$125-2004,FALSE)*VLOOKUP($A129,Mod_AoA_2,2,FALSE)+VLOOKUP($A129,Mod_AoA_2,3,FALSE))</f>
        <v/>
      </c>
      <c r="L129" s="86" t="str">
        <f>IF(COUNTA(Machine!$D$29:$D$31)=0,"",VLOOKUP($A129,VoP,L$125-2004,FALSE)*VLOOKUP($A129,Mod_AoA_2,2,FALSE)+VLOOKUP($A129,Mod_AoA_2,3,FALSE))</f>
        <v/>
      </c>
      <c r="M129" s="86" t="str">
        <f>IF(COUNTA(Machine!$D$29:$D$31)=0,"",VLOOKUP($A129,VoP,M$125-2004,FALSE)*VLOOKUP($A129,Mod_AoA_2,2,FALSE)+VLOOKUP($A129,Mod_AoA_2,3,FALSE))</f>
        <v/>
      </c>
      <c r="N129" s="86" t="str">
        <f>IF(COUNTA(Machine!$D$29:$D$31)=0,"",VLOOKUP($A129,VoP,N$125-2004,FALSE)*VLOOKUP($A129,Mod_AoA_2,2,FALSE)+VLOOKUP($A129,Mod_AoA_2,3,FALSE))</f>
        <v/>
      </c>
      <c r="O129" s="86" t="str">
        <f>IF(COUNTA(Machine!$D$29:$D$31)=0,"",VLOOKUP($A129,VoP,O$125-2004,FALSE)*VLOOKUP($A129,Mod_AoA_2,2,FALSE)+VLOOKUP($A129,Mod_AoA_2,3,FALSE))</f>
        <v/>
      </c>
      <c r="P129" s="86" t="str">
        <f>IF(COUNTA(Machine!$D$29:$D$31)=0,"",VLOOKUP($A129,VoP,P$125-2004,FALSE)*VLOOKUP($A129,Mod_AoA_2,2,FALSE)+VLOOKUP($A129,Mod_AoA_2,3,FALSE))</f>
        <v/>
      </c>
      <c r="Q129" s="86" t="str">
        <f>IF(COUNTA(Machine!$D$29:$D$31)=0,"",VLOOKUP($A129,VoP,Q$125-2004,FALSE)*VLOOKUP($A129,Mod_AoA_2,2,FALSE)+VLOOKUP($A129,Mod_AoA_2,3,FALSE))</f>
        <v/>
      </c>
      <c r="R129" s="86" t="str">
        <f>IF(COUNTA(Machine!$D$29:$D$31)=0,"",VLOOKUP($A129,VoP,R$125-2004,FALSE)*VLOOKUP($A129,Mod_AoA_2,2,FALSE)+VLOOKUP($A129,Mod_AoA_2,3,FALSE))</f>
        <v/>
      </c>
      <c r="S129" s="86" t="str">
        <f>IF(COUNTA(Machine!$D$29:$D$31)=0,"",VLOOKUP($A129,VoP,S$125-2004,FALSE)*VLOOKUP($A129,Mod_AoA_2,2,FALSE)+VLOOKUP($A129,Mod_AoA_2,3,FALSE))</f>
        <v/>
      </c>
      <c r="T129" s="86" t="str">
        <f>IF(COUNTA(Machine!$D$29:$D$31)=0,"",VLOOKUP($A129,VoP,T$125-2004,FALSE)*VLOOKUP($A129,Mod_AoA_2,2,FALSE)+VLOOKUP($A129,Mod_AoA_2,3,FALSE))</f>
        <v/>
      </c>
      <c r="U129" s="86" t="str">
        <f>IF(COUNTA(Machine!$D$29:$D$31)=0,"",VLOOKUP($A129,VoP,U$125-2004,FALSE)*VLOOKUP($A129,Mod_AoA_2,2,FALSE)+VLOOKUP($A129,Mod_AoA_2,3,FALSE))</f>
        <v/>
      </c>
      <c r="V129" s="86" t="str">
        <f>IF(COUNTA(Machine!$D$29:$D$31)=0,"",VLOOKUP($A129,VoP,V$125-2004,FALSE)*VLOOKUP($A129,Mod_AoA_2,2,FALSE)+VLOOKUP($A129,Mod_AoA_2,3,FALSE))</f>
        <v/>
      </c>
      <c r="W129" s="86" t="str">
        <f>IF(COUNTA(Machine!$D$29:$D$31)=0,"",VLOOKUP($A129,VoP,W$125-2004,FALSE)*VLOOKUP($A129,Mod_AoA_2,2,FALSE)+VLOOKUP($A129,Mod_AoA_2,3,FALSE))</f>
        <v/>
      </c>
      <c r="X129" s="86" t="str">
        <f>IF(COUNTA(Machine!$D$29:$D$31)=0,"",VLOOKUP($A129,VoP,X$125-2004,FALSE)*VLOOKUP($A129,Mod_AoA_2,2,FALSE)+VLOOKUP($A129,Mod_AoA_2,3,FALSE))</f>
        <v/>
      </c>
      <c r="Y129" s="86" t="str">
        <f>IF(COUNTA(Machine!$D$29:$D$31)=0,"",VLOOKUP($A129,VoP,Y$125-2004,FALSE)*VLOOKUP($A129,Mod_AoA_2,2,FALSE)+VLOOKUP($A129,Mod_AoA_2,3,FALSE))</f>
        <v/>
      </c>
      <c r="Z129" s="86" t="str">
        <f>IF(COUNTA(Machine!$D$29:$D$31)=0,"",VLOOKUP($A129,VoP,Z$125-2004,FALSE)*VLOOKUP($A129,Mod_AoA_2,2,FALSE)+VLOOKUP($A129,Mod_AoA_2,3,FALSE))</f>
        <v/>
      </c>
    </row>
    <row r="130" spans="1:26" x14ac:dyDescent="0.25">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1:26" x14ac:dyDescent="0.25">
      <c r="A131" s="39" t="s">
        <v>418</v>
      </c>
      <c r="B131">
        <v>2006</v>
      </c>
      <c r="C131">
        <v>2007</v>
      </c>
      <c r="D131">
        <v>2008</v>
      </c>
      <c r="E131">
        <v>2009</v>
      </c>
      <c r="F131">
        <v>2010</v>
      </c>
      <c r="G131">
        <v>2011</v>
      </c>
      <c r="H131">
        <v>2012</v>
      </c>
      <c r="I131">
        <v>2013</v>
      </c>
      <c r="J131">
        <v>2014</v>
      </c>
      <c r="K131">
        <v>2015</v>
      </c>
      <c r="L131">
        <v>2016</v>
      </c>
      <c r="M131">
        <v>2017</v>
      </c>
      <c r="N131">
        <v>2018</v>
      </c>
      <c r="O131">
        <v>2019</v>
      </c>
      <c r="P131">
        <v>2020</v>
      </c>
      <c r="Q131">
        <v>2021</v>
      </c>
      <c r="R131">
        <v>2022</v>
      </c>
      <c r="S131">
        <v>2023</v>
      </c>
      <c r="T131">
        <v>2024</v>
      </c>
      <c r="U131">
        <v>2025</v>
      </c>
      <c r="V131">
        <v>2026</v>
      </c>
      <c r="W131">
        <v>2027</v>
      </c>
      <c r="X131">
        <v>2028</v>
      </c>
      <c r="Y131">
        <v>2029</v>
      </c>
      <c r="Z131">
        <v>2030</v>
      </c>
    </row>
    <row r="132" spans="1:26" x14ac:dyDescent="0.25">
      <c r="A132" t="str">
        <f>A126</f>
        <v>Japan</v>
      </c>
      <c r="B132" s="86">
        <f>IF($B$155="AMS + DM Limit",B15,IF($B$155="OTDS",B9,B126))</f>
        <v>46384205111.95343</v>
      </c>
      <c r="C132" s="86">
        <f t="shared" ref="C132:Z135" si="17">IF($B$155="AMS + DM Limit",C15,IF($B$155="OTDS",C9,C126))</f>
        <v>46139829111.95343</v>
      </c>
      <c r="D132" s="86">
        <f t="shared" si="17"/>
        <v>46988349111.95343</v>
      </c>
      <c r="E132" s="86">
        <f t="shared" si="17"/>
        <v>47470963111.95343</v>
      </c>
      <c r="F132" s="86">
        <f t="shared" si="17"/>
        <v>48067160111.95343</v>
      </c>
      <c r="G132" s="86">
        <f t="shared" si="17"/>
        <v>48491804111.95343</v>
      </c>
      <c r="H132" s="86">
        <f t="shared" si="17"/>
        <v>48991799111.95343</v>
      </c>
      <c r="I132" s="86">
        <f t="shared" si="17"/>
        <v>47412534111.95343</v>
      </c>
      <c r="J132" s="86">
        <f t="shared" si="17"/>
        <v>47625976401.95343</v>
      </c>
      <c r="K132" s="86">
        <f t="shared" si="17"/>
        <v>47845821960.653427</v>
      </c>
      <c r="L132" s="86">
        <f t="shared" si="17"/>
        <v>48072262886.114433</v>
      </c>
      <c r="M132" s="86">
        <f t="shared" si="17"/>
        <v>48305497039.339264</v>
      </c>
      <c r="N132" s="86">
        <f t="shared" si="17"/>
        <v>48545728217.160835</v>
      </c>
      <c r="O132" s="86">
        <f t="shared" si="17"/>
        <v>48793166330.317062</v>
      </c>
      <c r="P132" s="86">
        <f t="shared" si="17"/>
        <v>49048027586.867966</v>
      </c>
      <c r="Q132" s="86">
        <f t="shared" si="17"/>
        <v>49310534681.115402</v>
      </c>
      <c r="R132" s="86">
        <f t="shared" si="17"/>
        <v>49580916988.190262</v>
      </c>
      <c r="S132" s="86">
        <f t="shared" si="17"/>
        <v>49859410764.477371</v>
      </c>
      <c r="T132" s="86">
        <f t="shared" si="17"/>
        <v>50146259354.053085</v>
      </c>
      <c r="U132" s="86">
        <f t="shared" si="17"/>
        <v>50441713401.316078</v>
      </c>
      <c r="V132" s="86">
        <f t="shared" si="17"/>
        <v>50746031069.996956</v>
      </c>
      <c r="W132" s="86">
        <f t="shared" si="17"/>
        <v>51059478268.738266</v>
      </c>
      <c r="X132" s="86">
        <f t="shared" si="17"/>
        <v>51382328883.441803</v>
      </c>
      <c r="Y132" s="86">
        <f t="shared" si="17"/>
        <v>51714865016.586456</v>
      </c>
      <c r="Z132" s="86">
        <f t="shared" si="17"/>
        <v>52057377233.725449</v>
      </c>
    </row>
    <row r="133" spans="1:26" x14ac:dyDescent="0.25">
      <c r="A133" t="str">
        <f t="shared" ref="A133:A135" si="18">A127</f>
        <v/>
      </c>
      <c r="B133" s="86" t="str">
        <f t="shared" ref="B133:Q135" si="19">IF($B$155="AMS + DM Limit",B16,IF($B$155="OTDS",B10,B127))</f>
        <v/>
      </c>
      <c r="C133" s="86" t="str">
        <f t="shared" si="19"/>
        <v/>
      </c>
      <c r="D133" s="86" t="str">
        <f t="shared" si="19"/>
        <v/>
      </c>
      <c r="E133" s="86" t="str">
        <f t="shared" si="19"/>
        <v/>
      </c>
      <c r="F133" s="86" t="str">
        <f t="shared" si="19"/>
        <v/>
      </c>
      <c r="G133" s="86" t="str">
        <f t="shared" si="19"/>
        <v/>
      </c>
      <c r="H133" s="86" t="str">
        <f t="shared" si="19"/>
        <v/>
      </c>
      <c r="I133" s="86" t="str">
        <f t="shared" si="19"/>
        <v/>
      </c>
      <c r="J133" s="86" t="str">
        <f t="shared" si="19"/>
        <v/>
      </c>
      <c r="K133" s="86" t="str">
        <f t="shared" si="19"/>
        <v/>
      </c>
      <c r="L133" s="86" t="str">
        <f t="shared" si="19"/>
        <v/>
      </c>
      <c r="M133" s="86" t="str">
        <f t="shared" si="19"/>
        <v/>
      </c>
      <c r="N133" s="86" t="str">
        <f t="shared" si="19"/>
        <v/>
      </c>
      <c r="O133" s="86" t="str">
        <f t="shared" si="19"/>
        <v/>
      </c>
      <c r="P133" s="86" t="str">
        <f t="shared" si="19"/>
        <v/>
      </c>
      <c r="Q133" s="86" t="str">
        <f t="shared" si="19"/>
        <v/>
      </c>
      <c r="R133" s="86" t="str">
        <f t="shared" si="17"/>
        <v/>
      </c>
      <c r="S133" s="86" t="str">
        <f t="shared" si="17"/>
        <v/>
      </c>
      <c r="T133" s="86" t="str">
        <f t="shared" si="17"/>
        <v/>
      </c>
      <c r="U133" s="86" t="str">
        <f t="shared" si="17"/>
        <v/>
      </c>
      <c r="V133" s="86" t="str">
        <f t="shared" si="17"/>
        <v/>
      </c>
      <c r="W133" s="86" t="str">
        <f t="shared" si="17"/>
        <v/>
      </c>
      <c r="X133" s="86" t="str">
        <f t="shared" si="17"/>
        <v/>
      </c>
      <c r="Y133" s="86" t="str">
        <f t="shared" si="17"/>
        <v/>
      </c>
      <c r="Z133" s="86" t="str">
        <f t="shared" si="17"/>
        <v/>
      </c>
    </row>
    <row r="134" spans="1:26" x14ac:dyDescent="0.25">
      <c r="A134" t="str">
        <f t="shared" si="18"/>
        <v/>
      </c>
      <c r="B134" s="86" t="str">
        <f t="shared" si="19"/>
        <v/>
      </c>
      <c r="C134" s="86" t="str">
        <f t="shared" si="17"/>
        <v/>
      </c>
      <c r="D134" s="86" t="str">
        <f t="shared" si="17"/>
        <v/>
      </c>
      <c r="E134" s="86" t="str">
        <f t="shared" si="17"/>
        <v/>
      </c>
      <c r="F134" s="86" t="str">
        <f t="shared" si="17"/>
        <v/>
      </c>
      <c r="G134" s="86" t="str">
        <f t="shared" si="17"/>
        <v/>
      </c>
      <c r="H134" s="86" t="str">
        <f t="shared" si="17"/>
        <v/>
      </c>
      <c r="I134" s="86" t="str">
        <f t="shared" si="17"/>
        <v/>
      </c>
      <c r="J134" s="86" t="str">
        <f t="shared" si="17"/>
        <v/>
      </c>
      <c r="K134" s="86" t="str">
        <f t="shared" si="17"/>
        <v/>
      </c>
      <c r="L134" s="86" t="str">
        <f t="shared" si="17"/>
        <v/>
      </c>
      <c r="M134" s="86" t="str">
        <f t="shared" si="17"/>
        <v/>
      </c>
      <c r="N134" s="86" t="str">
        <f t="shared" si="17"/>
        <v/>
      </c>
      <c r="O134" s="86" t="str">
        <f t="shared" si="17"/>
        <v/>
      </c>
      <c r="P134" s="86" t="str">
        <f t="shared" si="17"/>
        <v/>
      </c>
      <c r="Q134" s="86" t="str">
        <f t="shared" si="17"/>
        <v/>
      </c>
      <c r="R134" s="86" t="str">
        <f t="shared" si="17"/>
        <v/>
      </c>
      <c r="S134" s="86" t="str">
        <f t="shared" si="17"/>
        <v/>
      </c>
      <c r="T134" s="86" t="str">
        <f t="shared" si="17"/>
        <v/>
      </c>
      <c r="U134" s="86" t="str">
        <f t="shared" si="17"/>
        <v/>
      </c>
      <c r="V134" s="86" t="str">
        <f t="shared" si="17"/>
        <v/>
      </c>
      <c r="W134" s="86" t="str">
        <f t="shared" si="17"/>
        <v/>
      </c>
      <c r="X134" s="86" t="str">
        <f t="shared" si="17"/>
        <v/>
      </c>
      <c r="Y134" s="86" t="str">
        <f t="shared" si="17"/>
        <v/>
      </c>
      <c r="Z134" s="86" t="str">
        <f t="shared" si="17"/>
        <v/>
      </c>
    </row>
    <row r="135" spans="1:26" x14ac:dyDescent="0.25">
      <c r="A135" t="str">
        <f t="shared" si="18"/>
        <v/>
      </c>
      <c r="B135" s="86" t="str">
        <f t="shared" si="19"/>
        <v/>
      </c>
      <c r="C135" s="86" t="str">
        <f t="shared" si="17"/>
        <v/>
      </c>
      <c r="D135" s="86" t="str">
        <f t="shared" si="17"/>
        <v/>
      </c>
      <c r="E135" s="86" t="str">
        <f t="shared" si="17"/>
        <v/>
      </c>
      <c r="F135" s="86" t="str">
        <f t="shared" si="17"/>
        <v/>
      </c>
      <c r="G135" s="86" t="str">
        <f t="shared" si="17"/>
        <v/>
      </c>
      <c r="H135" s="86" t="str">
        <f t="shared" si="17"/>
        <v/>
      </c>
      <c r="I135" s="86" t="str">
        <f t="shared" si="17"/>
        <v/>
      </c>
      <c r="J135" s="86" t="str">
        <f t="shared" si="17"/>
        <v/>
      </c>
      <c r="K135" s="86" t="str">
        <f t="shared" si="17"/>
        <v/>
      </c>
      <c r="L135" s="86" t="str">
        <f t="shared" si="17"/>
        <v/>
      </c>
      <c r="M135" s="86" t="str">
        <f t="shared" si="17"/>
        <v/>
      </c>
      <c r="N135" s="86" t="str">
        <f t="shared" si="17"/>
        <v/>
      </c>
      <c r="O135" s="86" t="str">
        <f t="shared" si="17"/>
        <v/>
      </c>
      <c r="P135" s="86" t="str">
        <f t="shared" si="17"/>
        <v/>
      </c>
      <c r="Q135" s="86" t="str">
        <f t="shared" si="17"/>
        <v/>
      </c>
      <c r="R135" s="86" t="str">
        <f t="shared" si="17"/>
        <v/>
      </c>
      <c r="S135" s="86" t="str">
        <f t="shared" si="17"/>
        <v/>
      </c>
      <c r="T135" s="86" t="str">
        <f t="shared" si="17"/>
        <v/>
      </c>
      <c r="U135" s="86" t="str">
        <f t="shared" si="17"/>
        <v/>
      </c>
      <c r="V135" s="86" t="str">
        <f t="shared" si="17"/>
        <v/>
      </c>
      <c r="W135" s="86" t="str">
        <f t="shared" si="17"/>
        <v/>
      </c>
      <c r="X135" s="86" t="str">
        <f t="shared" si="17"/>
        <v/>
      </c>
      <c r="Y135" s="86" t="str">
        <f t="shared" si="17"/>
        <v/>
      </c>
      <c r="Z135" s="86" t="str">
        <f t="shared" si="17"/>
        <v/>
      </c>
    </row>
    <row r="137" spans="1:26" x14ac:dyDescent="0.25">
      <c r="A137" s="39" t="s">
        <v>419</v>
      </c>
      <c r="B137">
        <v>2006</v>
      </c>
      <c r="C137">
        <v>2007</v>
      </c>
      <c r="D137">
        <v>2008</v>
      </c>
      <c r="E137">
        <v>2009</v>
      </c>
      <c r="F137">
        <v>2010</v>
      </c>
      <c r="G137">
        <v>2011</v>
      </c>
      <c r="H137">
        <v>2012</v>
      </c>
      <c r="I137">
        <v>2013</v>
      </c>
      <c r="J137">
        <v>2014</v>
      </c>
      <c r="K137">
        <v>2015</v>
      </c>
      <c r="L137">
        <v>2016</v>
      </c>
      <c r="M137">
        <v>2017</v>
      </c>
      <c r="N137">
        <v>2018</v>
      </c>
      <c r="O137">
        <v>2019</v>
      </c>
      <c r="P137">
        <v>2020</v>
      </c>
      <c r="Q137">
        <v>2021</v>
      </c>
      <c r="R137">
        <v>2022</v>
      </c>
      <c r="S137">
        <v>2023</v>
      </c>
      <c r="T137">
        <v>2024</v>
      </c>
      <c r="U137">
        <v>2025</v>
      </c>
      <c r="V137">
        <v>2026</v>
      </c>
      <c r="W137">
        <v>2027</v>
      </c>
      <c r="X137">
        <v>2028</v>
      </c>
      <c r="Y137">
        <v>2029</v>
      </c>
      <c r="Z137">
        <v>2030</v>
      </c>
    </row>
    <row r="138" spans="1:26" x14ac:dyDescent="0.25">
      <c r="A138" t="str">
        <f>A132</f>
        <v>Japan</v>
      </c>
      <c r="B138" s="51">
        <f>IF($B$156="AMS + DM Spending",B21,B3)</f>
        <v>5083599507.8195124</v>
      </c>
      <c r="C138" s="51">
        <f t="shared" ref="C138:Z141" si="20">IF($B$156="AMS + DM Spending",C21,C3)</f>
        <v>4186706648.5890331</v>
      </c>
      <c r="D138" s="51">
        <f t="shared" si="20"/>
        <v>6007172628.2564144</v>
      </c>
      <c r="E138" s="51">
        <f t="shared" si="20"/>
        <v>7201842226.8806648</v>
      </c>
      <c r="F138" s="51">
        <f t="shared" si="20"/>
        <v>6780707633.8730984</v>
      </c>
      <c r="G138" s="51">
        <f t="shared" si="20"/>
        <v>8186283867.8635674</v>
      </c>
      <c r="H138" s="51">
        <f t="shared" si="20"/>
        <v>8774838721.9846039</v>
      </c>
      <c r="I138" s="51">
        <f t="shared" si="20"/>
        <v>9038083883.6441422</v>
      </c>
      <c r="J138" s="51">
        <f t="shared" si="20"/>
        <v>9309226400.1534672</v>
      </c>
      <c r="K138" s="51">
        <f t="shared" si="20"/>
        <v>9588503192.1580715</v>
      </c>
      <c r="L138" s="51">
        <f t="shared" si="20"/>
        <v>9876158287.9228134</v>
      </c>
      <c r="M138" s="51">
        <f t="shared" si="20"/>
        <v>10172443036.560497</v>
      </c>
      <c r="N138" s="51">
        <f t="shared" si="20"/>
        <v>10477616327.657312</v>
      </c>
      <c r="O138" s="51">
        <f t="shared" si="20"/>
        <v>10791944817.487032</v>
      </c>
      <c r="P138" s="51">
        <f t="shared" si="20"/>
        <v>11115703162.011642</v>
      </c>
      <c r="Q138" s="51">
        <f t="shared" si="20"/>
        <v>11449174256.871992</v>
      </c>
      <c r="R138" s="51">
        <f t="shared" si="20"/>
        <v>11792649484.578152</v>
      </c>
      <c r="S138" s="51">
        <f t="shared" si="20"/>
        <v>12146428969.115496</v>
      </c>
      <c r="T138" s="51">
        <f t="shared" si="20"/>
        <v>12510821838.188961</v>
      </c>
      <c r="U138" s="51">
        <f t="shared" si="20"/>
        <v>12886146493.334629</v>
      </c>
      <c r="V138" s="51">
        <f t="shared" si="20"/>
        <v>13272730888.134668</v>
      </c>
      <c r="W138" s="51">
        <f t="shared" si="20"/>
        <v>13670912814.778708</v>
      </c>
      <c r="X138" s="51">
        <f t="shared" si="20"/>
        <v>14081040199.222069</v>
      </c>
      <c r="Y138" s="51">
        <f t="shared" si="20"/>
        <v>14503471405.19873</v>
      </c>
      <c r="Z138" s="51">
        <f t="shared" si="20"/>
        <v>14938575547.354692</v>
      </c>
    </row>
    <row r="139" spans="1:26" x14ac:dyDescent="0.25">
      <c r="A139" t="str">
        <f t="shared" ref="A139:A141" si="21">A133</f>
        <v/>
      </c>
      <c r="B139" s="51" t="e">
        <f t="shared" ref="B139:Q141" si="22">IF($B$156="AMS + DM Spending",B22,B4)</f>
        <v>#N/A</v>
      </c>
      <c r="C139" s="51" t="e">
        <f t="shared" si="22"/>
        <v>#N/A</v>
      </c>
      <c r="D139" s="51" t="e">
        <f t="shared" si="22"/>
        <v>#N/A</v>
      </c>
      <c r="E139" s="51" t="e">
        <f t="shared" si="22"/>
        <v>#N/A</v>
      </c>
      <c r="F139" s="51" t="e">
        <f t="shared" si="22"/>
        <v>#N/A</v>
      </c>
      <c r="G139" s="51" t="e">
        <f t="shared" si="22"/>
        <v>#N/A</v>
      </c>
      <c r="H139" s="51" t="e">
        <f t="shared" si="22"/>
        <v>#N/A</v>
      </c>
      <c r="I139" s="51" t="e">
        <f t="shared" si="22"/>
        <v>#N/A</v>
      </c>
      <c r="J139" s="51" t="e">
        <f t="shared" si="22"/>
        <v>#N/A</v>
      </c>
      <c r="K139" s="51" t="e">
        <f t="shared" si="22"/>
        <v>#N/A</v>
      </c>
      <c r="L139" s="51" t="e">
        <f t="shared" si="22"/>
        <v>#N/A</v>
      </c>
      <c r="M139" s="51" t="e">
        <f t="shared" si="22"/>
        <v>#N/A</v>
      </c>
      <c r="N139" s="51" t="e">
        <f t="shared" si="22"/>
        <v>#N/A</v>
      </c>
      <c r="O139" s="51" t="e">
        <f t="shared" si="22"/>
        <v>#N/A</v>
      </c>
      <c r="P139" s="51" t="e">
        <f t="shared" si="22"/>
        <v>#N/A</v>
      </c>
      <c r="Q139" s="51" t="e">
        <f t="shared" si="22"/>
        <v>#N/A</v>
      </c>
      <c r="R139" s="51" t="e">
        <f t="shared" si="20"/>
        <v>#N/A</v>
      </c>
      <c r="S139" s="51" t="e">
        <f t="shared" si="20"/>
        <v>#N/A</v>
      </c>
      <c r="T139" s="51" t="e">
        <f t="shared" si="20"/>
        <v>#N/A</v>
      </c>
      <c r="U139" s="51" t="e">
        <f t="shared" si="20"/>
        <v>#N/A</v>
      </c>
      <c r="V139" s="51" t="e">
        <f t="shared" si="20"/>
        <v>#N/A</v>
      </c>
      <c r="W139" s="51" t="e">
        <f t="shared" si="20"/>
        <v>#N/A</v>
      </c>
      <c r="X139" s="51" t="e">
        <f t="shared" si="20"/>
        <v>#N/A</v>
      </c>
      <c r="Y139" s="51" t="e">
        <f t="shared" si="20"/>
        <v>#N/A</v>
      </c>
      <c r="Z139" s="51" t="e">
        <f t="shared" si="20"/>
        <v>#N/A</v>
      </c>
    </row>
    <row r="140" spans="1:26" x14ac:dyDescent="0.25">
      <c r="A140" t="str">
        <f t="shared" si="21"/>
        <v/>
      </c>
      <c r="B140" s="51" t="e">
        <f t="shared" si="22"/>
        <v>#N/A</v>
      </c>
      <c r="C140" s="51" t="e">
        <f t="shared" si="20"/>
        <v>#N/A</v>
      </c>
      <c r="D140" s="51" t="e">
        <f t="shared" si="20"/>
        <v>#N/A</v>
      </c>
      <c r="E140" s="51" t="e">
        <f t="shared" si="20"/>
        <v>#N/A</v>
      </c>
      <c r="F140" s="51" t="e">
        <f t="shared" si="20"/>
        <v>#N/A</v>
      </c>
      <c r="G140" s="51" t="e">
        <f t="shared" si="20"/>
        <v>#N/A</v>
      </c>
      <c r="H140" s="51" t="e">
        <f t="shared" si="20"/>
        <v>#N/A</v>
      </c>
      <c r="I140" s="51" t="e">
        <f t="shared" si="20"/>
        <v>#N/A</v>
      </c>
      <c r="J140" s="51" t="e">
        <f t="shared" si="20"/>
        <v>#N/A</v>
      </c>
      <c r="K140" s="51" t="e">
        <f t="shared" si="20"/>
        <v>#N/A</v>
      </c>
      <c r="L140" s="51" t="e">
        <f t="shared" si="20"/>
        <v>#N/A</v>
      </c>
      <c r="M140" s="51" t="e">
        <f t="shared" si="20"/>
        <v>#N/A</v>
      </c>
      <c r="N140" s="51" t="e">
        <f t="shared" si="20"/>
        <v>#N/A</v>
      </c>
      <c r="O140" s="51" t="e">
        <f t="shared" si="20"/>
        <v>#N/A</v>
      </c>
      <c r="P140" s="51" t="e">
        <f t="shared" si="20"/>
        <v>#N/A</v>
      </c>
      <c r="Q140" s="51" t="e">
        <f t="shared" si="20"/>
        <v>#N/A</v>
      </c>
      <c r="R140" s="51" t="e">
        <f t="shared" si="20"/>
        <v>#N/A</v>
      </c>
      <c r="S140" s="51" t="e">
        <f t="shared" si="20"/>
        <v>#N/A</v>
      </c>
      <c r="T140" s="51" t="e">
        <f t="shared" si="20"/>
        <v>#N/A</v>
      </c>
      <c r="U140" s="51" t="e">
        <f t="shared" si="20"/>
        <v>#N/A</v>
      </c>
      <c r="V140" s="51" t="e">
        <f t="shared" si="20"/>
        <v>#N/A</v>
      </c>
      <c r="W140" s="51" t="e">
        <f t="shared" si="20"/>
        <v>#N/A</v>
      </c>
      <c r="X140" s="51" t="e">
        <f t="shared" si="20"/>
        <v>#N/A</v>
      </c>
      <c r="Y140" s="51" t="e">
        <f t="shared" si="20"/>
        <v>#N/A</v>
      </c>
      <c r="Z140" s="51" t="e">
        <f t="shared" si="20"/>
        <v>#N/A</v>
      </c>
    </row>
    <row r="141" spans="1:26" x14ac:dyDescent="0.25">
      <c r="A141" t="str">
        <f t="shared" si="21"/>
        <v/>
      </c>
      <c r="B141" s="51" t="e">
        <f t="shared" si="22"/>
        <v>#N/A</v>
      </c>
      <c r="C141" s="51" t="e">
        <f t="shared" si="20"/>
        <v>#N/A</v>
      </c>
      <c r="D141" s="51" t="e">
        <f t="shared" si="20"/>
        <v>#N/A</v>
      </c>
      <c r="E141" s="51" t="e">
        <f t="shared" si="20"/>
        <v>#N/A</v>
      </c>
      <c r="F141" s="51" t="e">
        <f t="shared" si="20"/>
        <v>#N/A</v>
      </c>
      <c r="G141" s="51" t="e">
        <f t="shared" si="20"/>
        <v>#N/A</v>
      </c>
      <c r="H141" s="51" t="e">
        <f t="shared" si="20"/>
        <v>#N/A</v>
      </c>
      <c r="I141" s="51" t="e">
        <f t="shared" si="20"/>
        <v>#N/A</v>
      </c>
      <c r="J141" s="51" t="e">
        <f t="shared" si="20"/>
        <v>#N/A</v>
      </c>
      <c r="K141" s="51" t="e">
        <f t="shared" si="20"/>
        <v>#N/A</v>
      </c>
      <c r="L141" s="51" t="e">
        <f t="shared" si="20"/>
        <v>#N/A</v>
      </c>
      <c r="M141" s="51" t="e">
        <f t="shared" si="20"/>
        <v>#N/A</v>
      </c>
      <c r="N141" s="51" t="e">
        <f t="shared" si="20"/>
        <v>#N/A</v>
      </c>
      <c r="O141" s="51" t="e">
        <f t="shared" si="20"/>
        <v>#N/A</v>
      </c>
      <c r="P141" s="51" t="e">
        <f t="shared" si="20"/>
        <v>#N/A</v>
      </c>
      <c r="Q141" s="51" t="e">
        <f t="shared" si="20"/>
        <v>#N/A</v>
      </c>
      <c r="R141" s="51" t="e">
        <f t="shared" si="20"/>
        <v>#N/A</v>
      </c>
      <c r="S141" s="51" t="e">
        <f t="shared" si="20"/>
        <v>#N/A</v>
      </c>
      <c r="T141" s="51" t="e">
        <f t="shared" si="20"/>
        <v>#N/A</v>
      </c>
      <c r="U141" s="51" t="e">
        <f t="shared" si="20"/>
        <v>#N/A</v>
      </c>
      <c r="V141" s="51" t="e">
        <f t="shared" si="20"/>
        <v>#N/A</v>
      </c>
      <c r="W141" s="51" t="e">
        <f t="shared" si="20"/>
        <v>#N/A</v>
      </c>
      <c r="X141" s="51" t="e">
        <f t="shared" si="20"/>
        <v>#N/A</v>
      </c>
      <c r="Y141" s="51" t="e">
        <f t="shared" si="20"/>
        <v>#N/A</v>
      </c>
      <c r="Z141" s="51" t="e">
        <f t="shared" si="20"/>
        <v>#N/A</v>
      </c>
    </row>
    <row r="143" spans="1:26" x14ac:dyDescent="0.25">
      <c r="A143" s="39" t="s">
        <v>424</v>
      </c>
      <c r="B143">
        <v>2006</v>
      </c>
      <c r="C143">
        <v>2007</v>
      </c>
      <c r="D143">
        <v>2008</v>
      </c>
      <c r="E143">
        <v>2009</v>
      </c>
      <c r="F143">
        <v>2010</v>
      </c>
      <c r="G143">
        <v>2011</v>
      </c>
      <c r="H143">
        <v>2012</v>
      </c>
      <c r="I143">
        <v>2013</v>
      </c>
      <c r="J143">
        <v>2014</v>
      </c>
      <c r="K143">
        <v>2015</v>
      </c>
      <c r="L143">
        <v>2016</v>
      </c>
      <c r="M143">
        <v>2017</v>
      </c>
      <c r="N143">
        <v>2018</v>
      </c>
      <c r="O143">
        <v>2019</v>
      </c>
      <c r="P143">
        <v>2020</v>
      </c>
      <c r="Q143">
        <v>2021</v>
      </c>
      <c r="R143">
        <v>2022</v>
      </c>
      <c r="S143">
        <v>2023</v>
      </c>
      <c r="T143">
        <v>2024</v>
      </c>
      <c r="U143">
        <v>2025</v>
      </c>
      <c r="V143">
        <v>2026</v>
      </c>
      <c r="W143">
        <v>2027</v>
      </c>
      <c r="X143">
        <v>2028</v>
      </c>
      <c r="Y143">
        <v>2029</v>
      </c>
      <c r="Z143">
        <v>2030</v>
      </c>
    </row>
    <row r="144" spans="1:26" x14ac:dyDescent="0.25">
      <c r="A144" t="str">
        <f>A132</f>
        <v>Japan</v>
      </c>
      <c r="B144" s="86">
        <f>B132-B138</f>
        <v>41300605604.133919</v>
      </c>
      <c r="C144" s="86">
        <f t="shared" ref="C144:Z147" si="23">C132-C138</f>
        <v>41953122463.364395</v>
      </c>
      <c r="D144" s="86">
        <f t="shared" si="23"/>
        <v>40981176483.697014</v>
      </c>
      <c r="E144" s="86">
        <f t="shared" si="23"/>
        <v>40269120885.072769</v>
      </c>
      <c r="F144" s="86">
        <f t="shared" si="23"/>
        <v>41286452478.08033</v>
      </c>
      <c r="G144" s="86">
        <f t="shared" si="23"/>
        <v>40305520244.089859</v>
      </c>
      <c r="H144" s="86">
        <f t="shared" si="23"/>
        <v>40216960389.968826</v>
      </c>
      <c r="I144" s="86">
        <f t="shared" si="23"/>
        <v>38374450228.309288</v>
      </c>
      <c r="J144" s="86">
        <f t="shared" si="23"/>
        <v>38316750001.799965</v>
      </c>
      <c r="K144" s="86">
        <f t="shared" si="23"/>
        <v>38257318768.495354</v>
      </c>
      <c r="L144" s="86">
        <f t="shared" si="23"/>
        <v>38196104598.19162</v>
      </c>
      <c r="M144" s="86">
        <f t="shared" si="23"/>
        <v>38133054002.778763</v>
      </c>
      <c r="N144" s="86">
        <f t="shared" si="23"/>
        <v>38068111889.503525</v>
      </c>
      <c r="O144" s="86">
        <f t="shared" si="23"/>
        <v>38001221512.830032</v>
      </c>
      <c r="P144" s="86">
        <f t="shared" si="23"/>
        <v>37932324424.856323</v>
      </c>
      <c r="Q144" s="86">
        <f t="shared" si="23"/>
        <v>37861360424.243408</v>
      </c>
      <c r="R144" s="86">
        <f t="shared" si="23"/>
        <v>37788267503.612106</v>
      </c>
      <c r="S144" s="86">
        <f t="shared" si="23"/>
        <v>37712981795.361877</v>
      </c>
      <c r="T144" s="86">
        <f t="shared" si="23"/>
        <v>37635437515.86412</v>
      </c>
      <c r="U144" s="86">
        <f t="shared" si="23"/>
        <v>37555566907.981445</v>
      </c>
      <c r="V144" s="86">
        <f t="shared" si="23"/>
        <v>37473300181.862289</v>
      </c>
      <c r="W144" s="86">
        <f t="shared" si="23"/>
        <v>37388565453.959557</v>
      </c>
      <c r="X144" s="86">
        <f t="shared" si="23"/>
        <v>37301288684.219734</v>
      </c>
      <c r="Y144" s="86">
        <f t="shared" si="23"/>
        <v>37211393611.387726</v>
      </c>
      <c r="Z144" s="86">
        <f t="shared" si="23"/>
        <v>37118801686.370758</v>
      </c>
    </row>
    <row r="145" spans="1:26" x14ac:dyDescent="0.25">
      <c r="A145" t="str">
        <f t="shared" ref="A145:A147" si="24">A133</f>
        <v/>
      </c>
      <c r="B145" s="86" t="e">
        <f t="shared" ref="B145:Q147" si="25">B133-B139</f>
        <v>#VALUE!</v>
      </c>
      <c r="C145" s="86" t="e">
        <f t="shared" si="25"/>
        <v>#VALUE!</v>
      </c>
      <c r="D145" s="86" t="e">
        <f t="shared" si="25"/>
        <v>#VALUE!</v>
      </c>
      <c r="E145" s="86" t="e">
        <f t="shared" si="25"/>
        <v>#VALUE!</v>
      </c>
      <c r="F145" s="86" t="e">
        <f t="shared" si="25"/>
        <v>#VALUE!</v>
      </c>
      <c r="G145" s="86" t="e">
        <f t="shared" si="25"/>
        <v>#VALUE!</v>
      </c>
      <c r="H145" s="86" t="e">
        <f t="shared" si="25"/>
        <v>#VALUE!</v>
      </c>
      <c r="I145" s="86" t="e">
        <f t="shared" si="25"/>
        <v>#VALUE!</v>
      </c>
      <c r="J145" s="86" t="e">
        <f t="shared" si="25"/>
        <v>#VALUE!</v>
      </c>
      <c r="K145" s="86" t="e">
        <f t="shared" si="25"/>
        <v>#VALUE!</v>
      </c>
      <c r="L145" s="86" t="e">
        <f t="shared" si="25"/>
        <v>#VALUE!</v>
      </c>
      <c r="M145" s="86" t="e">
        <f t="shared" si="25"/>
        <v>#VALUE!</v>
      </c>
      <c r="N145" s="86" t="e">
        <f t="shared" si="25"/>
        <v>#VALUE!</v>
      </c>
      <c r="O145" s="86" t="e">
        <f t="shared" si="25"/>
        <v>#VALUE!</v>
      </c>
      <c r="P145" s="86" t="e">
        <f t="shared" si="25"/>
        <v>#VALUE!</v>
      </c>
      <c r="Q145" s="86" t="e">
        <f t="shared" si="25"/>
        <v>#VALUE!</v>
      </c>
      <c r="R145" s="86" t="e">
        <f t="shared" si="23"/>
        <v>#VALUE!</v>
      </c>
      <c r="S145" s="86" t="e">
        <f t="shared" si="23"/>
        <v>#VALUE!</v>
      </c>
      <c r="T145" s="86" t="e">
        <f t="shared" si="23"/>
        <v>#VALUE!</v>
      </c>
      <c r="U145" s="86" t="e">
        <f t="shared" si="23"/>
        <v>#VALUE!</v>
      </c>
      <c r="V145" s="86" t="e">
        <f t="shared" si="23"/>
        <v>#VALUE!</v>
      </c>
      <c r="W145" s="86" t="e">
        <f t="shared" si="23"/>
        <v>#VALUE!</v>
      </c>
      <c r="X145" s="86" t="e">
        <f t="shared" si="23"/>
        <v>#VALUE!</v>
      </c>
      <c r="Y145" s="86" t="e">
        <f t="shared" si="23"/>
        <v>#VALUE!</v>
      </c>
      <c r="Z145" s="86" t="e">
        <f t="shared" si="23"/>
        <v>#VALUE!</v>
      </c>
    </row>
    <row r="146" spans="1:26" x14ac:dyDescent="0.25">
      <c r="A146" t="str">
        <f t="shared" si="24"/>
        <v/>
      </c>
      <c r="B146" s="86" t="e">
        <f t="shared" si="25"/>
        <v>#VALUE!</v>
      </c>
      <c r="C146" s="86" t="e">
        <f t="shared" si="23"/>
        <v>#VALUE!</v>
      </c>
      <c r="D146" s="86" t="e">
        <f t="shared" si="23"/>
        <v>#VALUE!</v>
      </c>
      <c r="E146" s="86" t="e">
        <f t="shared" si="23"/>
        <v>#VALUE!</v>
      </c>
      <c r="F146" s="86" t="e">
        <f t="shared" si="23"/>
        <v>#VALUE!</v>
      </c>
      <c r="G146" s="86" t="e">
        <f t="shared" si="23"/>
        <v>#VALUE!</v>
      </c>
      <c r="H146" s="86" t="e">
        <f t="shared" si="23"/>
        <v>#VALUE!</v>
      </c>
      <c r="I146" s="86" t="e">
        <f t="shared" si="23"/>
        <v>#VALUE!</v>
      </c>
      <c r="J146" s="86" t="e">
        <f t="shared" si="23"/>
        <v>#VALUE!</v>
      </c>
      <c r="K146" s="86" t="e">
        <f t="shared" si="23"/>
        <v>#VALUE!</v>
      </c>
      <c r="L146" s="86" t="e">
        <f t="shared" si="23"/>
        <v>#VALUE!</v>
      </c>
      <c r="M146" s="86" t="e">
        <f t="shared" si="23"/>
        <v>#VALUE!</v>
      </c>
      <c r="N146" s="86" t="e">
        <f t="shared" si="23"/>
        <v>#VALUE!</v>
      </c>
      <c r="O146" s="86" t="e">
        <f t="shared" si="23"/>
        <v>#VALUE!</v>
      </c>
      <c r="P146" s="86" t="e">
        <f t="shared" si="23"/>
        <v>#VALUE!</v>
      </c>
      <c r="Q146" s="86" t="e">
        <f t="shared" si="23"/>
        <v>#VALUE!</v>
      </c>
      <c r="R146" s="86" t="e">
        <f t="shared" si="23"/>
        <v>#VALUE!</v>
      </c>
      <c r="S146" s="86" t="e">
        <f t="shared" si="23"/>
        <v>#VALUE!</v>
      </c>
      <c r="T146" s="86" t="e">
        <f t="shared" si="23"/>
        <v>#VALUE!</v>
      </c>
      <c r="U146" s="86" t="e">
        <f t="shared" si="23"/>
        <v>#VALUE!</v>
      </c>
      <c r="V146" s="86" t="e">
        <f t="shared" si="23"/>
        <v>#VALUE!</v>
      </c>
      <c r="W146" s="86" t="e">
        <f t="shared" si="23"/>
        <v>#VALUE!</v>
      </c>
      <c r="X146" s="86" t="e">
        <f t="shared" si="23"/>
        <v>#VALUE!</v>
      </c>
      <c r="Y146" s="86" t="e">
        <f t="shared" si="23"/>
        <v>#VALUE!</v>
      </c>
      <c r="Z146" s="86" t="e">
        <f t="shared" si="23"/>
        <v>#VALUE!</v>
      </c>
    </row>
    <row r="147" spans="1:26" x14ac:dyDescent="0.25">
      <c r="A147" t="str">
        <f t="shared" si="24"/>
        <v/>
      </c>
      <c r="B147" s="86" t="e">
        <f t="shared" si="25"/>
        <v>#VALUE!</v>
      </c>
      <c r="C147" s="86" t="e">
        <f t="shared" si="23"/>
        <v>#VALUE!</v>
      </c>
      <c r="D147" s="86" t="e">
        <f t="shared" si="23"/>
        <v>#VALUE!</v>
      </c>
      <c r="E147" s="86" t="e">
        <f t="shared" si="23"/>
        <v>#VALUE!</v>
      </c>
      <c r="F147" s="86" t="e">
        <f t="shared" si="23"/>
        <v>#VALUE!</v>
      </c>
      <c r="G147" s="86" t="e">
        <f t="shared" si="23"/>
        <v>#VALUE!</v>
      </c>
      <c r="H147" s="86" t="e">
        <f t="shared" si="23"/>
        <v>#VALUE!</v>
      </c>
      <c r="I147" s="86" t="e">
        <f t="shared" si="23"/>
        <v>#VALUE!</v>
      </c>
      <c r="J147" s="86" t="e">
        <f t="shared" si="23"/>
        <v>#VALUE!</v>
      </c>
      <c r="K147" s="86" t="e">
        <f t="shared" si="23"/>
        <v>#VALUE!</v>
      </c>
      <c r="L147" s="86" t="e">
        <f t="shared" si="23"/>
        <v>#VALUE!</v>
      </c>
      <c r="M147" s="86" t="e">
        <f t="shared" si="23"/>
        <v>#VALUE!</v>
      </c>
      <c r="N147" s="86" t="e">
        <f t="shared" si="23"/>
        <v>#VALUE!</v>
      </c>
      <c r="O147" s="86" t="e">
        <f t="shared" si="23"/>
        <v>#VALUE!</v>
      </c>
      <c r="P147" s="86" t="e">
        <f t="shared" si="23"/>
        <v>#VALUE!</v>
      </c>
      <c r="Q147" s="86" t="e">
        <f t="shared" si="23"/>
        <v>#VALUE!</v>
      </c>
      <c r="R147" s="86" t="e">
        <f t="shared" si="23"/>
        <v>#VALUE!</v>
      </c>
      <c r="S147" s="86" t="e">
        <f t="shared" si="23"/>
        <v>#VALUE!</v>
      </c>
      <c r="T147" s="86" t="e">
        <f t="shared" si="23"/>
        <v>#VALUE!</v>
      </c>
      <c r="U147" s="86" t="e">
        <f t="shared" si="23"/>
        <v>#VALUE!</v>
      </c>
      <c r="V147" s="86" t="e">
        <f t="shared" si="23"/>
        <v>#VALUE!</v>
      </c>
      <c r="W147" s="86" t="e">
        <f t="shared" si="23"/>
        <v>#VALUE!</v>
      </c>
      <c r="X147" s="86" t="e">
        <f t="shared" si="23"/>
        <v>#VALUE!</v>
      </c>
      <c r="Y147" s="86" t="e">
        <f t="shared" si="23"/>
        <v>#VALUE!</v>
      </c>
      <c r="Z147" s="86" t="e">
        <f t="shared" si="23"/>
        <v>#VALUE!</v>
      </c>
    </row>
    <row r="149" spans="1:26" x14ac:dyDescent="0.25">
      <c r="A149" s="39" t="s">
        <v>425</v>
      </c>
      <c r="B149">
        <v>2006</v>
      </c>
      <c r="C149">
        <v>2010</v>
      </c>
      <c r="D149">
        <v>2014</v>
      </c>
      <c r="E149">
        <v>2018</v>
      </c>
      <c r="F149">
        <v>2022</v>
      </c>
      <c r="G149">
        <v>2026</v>
      </c>
      <c r="H149">
        <v>2030</v>
      </c>
    </row>
    <row r="150" spans="1:26" x14ac:dyDescent="0.25">
      <c r="A150" t="str">
        <f>A144</f>
        <v>Japan</v>
      </c>
      <c r="B150" s="86">
        <f t="shared" ref="B150:H153" si="26">VLOOKUP($A150,Four_Way_Subtraction,B$149-2004,FALSE)</f>
        <v>41300605604.133919</v>
      </c>
      <c r="C150" s="86">
        <f t="shared" si="26"/>
        <v>41286452478.08033</v>
      </c>
      <c r="D150" s="86">
        <f t="shared" si="26"/>
        <v>38316750001.799965</v>
      </c>
      <c r="E150" s="86">
        <f t="shared" si="26"/>
        <v>38068111889.503525</v>
      </c>
      <c r="F150" s="86">
        <f t="shared" si="26"/>
        <v>37788267503.612106</v>
      </c>
      <c r="G150" s="86">
        <f t="shared" si="26"/>
        <v>37473300181.862289</v>
      </c>
      <c r="H150" s="86">
        <f t="shared" si="26"/>
        <v>37118801686.370758</v>
      </c>
    </row>
    <row r="151" spans="1:26" x14ac:dyDescent="0.25">
      <c r="A151" t="str">
        <f t="shared" ref="A151:A153" si="27">A145</f>
        <v/>
      </c>
      <c r="B151" s="86" t="e">
        <f t="shared" si="26"/>
        <v>#VALUE!</v>
      </c>
      <c r="C151" s="86" t="e">
        <f t="shared" si="26"/>
        <v>#VALUE!</v>
      </c>
      <c r="D151" s="86" t="e">
        <f t="shared" si="26"/>
        <v>#VALUE!</v>
      </c>
      <c r="E151" s="86" t="e">
        <f t="shared" si="26"/>
        <v>#VALUE!</v>
      </c>
      <c r="F151" s="86" t="e">
        <f t="shared" si="26"/>
        <v>#VALUE!</v>
      </c>
      <c r="G151" s="86" t="e">
        <f t="shared" si="26"/>
        <v>#VALUE!</v>
      </c>
      <c r="H151" s="86" t="e">
        <f t="shared" si="26"/>
        <v>#VALUE!</v>
      </c>
    </row>
    <row r="152" spans="1:26" x14ac:dyDescent="0.25">
      <c r="A152" t="str">
        <f t="shared" si="27"/>
        <v/>
      </c>
      <c r="B152" s="86" t="e">
        <f t="shared" si="26"/>
        <v>#VALUE!</v>
      </c>
      <c r="C152" s="86" t="e">
        <f t="shared" si="26"/>
        <v>#VALUE!</v>
      </c>
      <c r="D152" s="86" t="e">
        <f t="shared" si="26"/>
        <v>#VALUE!</v>
      </c>
      <c r="E152" s="86" t="e">
        <f t="shared" si="26"/>
        <v>#VALUE!</v>
      </c>
      <c r="F152" s="86" t="e">
        <f t="shared" si="26"/>
        <v>#VALUE!</v>
      </c>
      <c r="G152" s="86" t="e">
        <f t="shared" si="26"/>
        <v>#VALUE!</v>
      </c>
      <c r="H152" s="86" t="e">
        <f t="shared" si="26"/>
        <v>#VALUE!</v>
      </c>
    </row>
    <row r="153" spans="1:26" x14ac:dyDescent="0.25">
      <c r="A153" t="str">
        <f t="shared" si="27"/>
        <v/>
      </c>
      <c r="B153" s="86" t="e">
        <f t="shared" si="26"/>
        <v>#VALUE!</v>
      </c>
      <c r="C153" s="86" t="e">
        <f t="shared" si="26"/>
        <v>#VALUE!</v>
      </c>
      <c r="D153" s="86" t="e">
        <f t="shared" si="26"/>
        <v>#VALUE!</v>
      </c>
      <c r="E153" s="86" t="e">
        <f t="shared" si="26"/>
        <v>#VALUE!</v>
      </c>
      <c r="F153" s="86" t="e">
        <f t="shared" si="26"/>
        <v>#VALUE!</v>
      </c>
      <c r="G153" s="86" t="e">
        <f t="shared" si="26"/>
        <v>#VALUE!</v>
      </c>
      <c r="H153" s="86" t="e">
        <f t="shared" si="26"/>
        <v>#VALUE!</v>
      </c>
    </row>
    <row r="155" spans="1:26" x14ac:dyDescent="0.25">
      <c r="A155" s="39" t="s">
        <v>420</v>
      </c>
      <c r="B155" t="str">
        <f>Machine!C111</f>
        <v>AMS + DM Limit</v>
      </c>
    </row>
    <row r="156" spans="1:26" x14ac:dyDescent="0.25">
      <c r="A156" s="39" t="s">
        <v>421</v>
      </c>
      <c r="B156" t="str">
        <f>Machine!J111</f>
        <v>AMS + DM Spending</v>
      </c>
    </row>
    <row r="157" spans="1:26" x14ac:dyDescent="0.25">
      <c r="A157" s="39" t="s">
        <v>426</v>
      </c>
      <c r="B157" t="str">
        <f>"Water Remaining: "&amp;CHAR(10)&amp;B155&amp;" vs "&amp;B156</f>
        <v>Water Remaining: 
AMS + DM Limit vs AMS + DM Spending</v>
      </c>
    </row>
    <row r="159" spans="1:26" x14ac:dyDescent="0.25">
      <c r="A159" s="39" t="s">
        <v>428</v>
      </c>
      <c r="B159" s="39"/>
      <c r="C159" s="39"/>
    </row>
    <row r="160" spans="1:26" x14ac:dyDescent="0.25">
      <c r="A160" t="str">
        <f>A144</f>
        <v>Japan</v>
      </c>
      <c r="B160" s="48" t="str">
        <f>IF(A160="","",A160&amp;" - "&amp;100*B39&amp;"% (VoP) "&amp;100*C39&amp;"% (TDS)")</f>
        <v>Japan - 3% (VoP) 3% (TDS)</v>
      </c>
      <c r="C160" s="48"/>
    </row>
    <row r="161" spans="1:3" x14ac:dyDescent="0.25">
      <c r="A161" t="str">
        <f t="shared" ref="A161:A163" si="28">A145</f>
        <v/>
      </c>
      <c r="B161" s="48" t="str">
        <f t="shared" ref="B161:B163" si="29">IF(A161="","",A161&amp;" - "&amp;100*B40&amp;"% (VoP) "&amp;100*C40&amp;"% (TDS)")</f>
        <v/>
      </c>
      <c r="C161" s="48"/>
    </row>
    <row r="162" spans="1:3" x14ac:dyDescent="0.25">
      <c r="A162" t="str">
        <f t="shared" si="28"/>
        <v/>
      </c>
      <c r="B162" s="48" t="str">
        <f t="shared" si="29"/>
        <v/>
      </c>
      <c r="C162" s="48"/>
    </row>
    <row r="163" spans="1:3" x14ac:dyDescent="0.25">
      <c r="A163" t="str">
        <f t="shared" si="28"/>
        <v/>
      </c>
      <c r="B163" s="48" t="str">
        <f t="shared" si="29"/>
        <v/>
      </c>
      <c r="C163" s="48"/>
    </row>
    <row r="165" spans="1:3" x14ac:dyDescent="0.25">
      <c r="B165" s="48" t="str">
        <f>B160&amp;CHAR(10)&amp;B161&amp;CHAR(10)&amp;B162&amp;CHAR(10)&amp;B163</f>
        <v xml:space="preserve">Japan - 3% (VoP) 3% (TDS)
</v>
      </c>
    </row>
  </sheetData>
  <customSheetViews>
    <customSheetView guid="{821D1691-1FA5-412F-8FF4-9E35B3587D16}">
      <selection activeCell="B10" sqref="B10"/>
      <pageMargins left="0.7" right="0.7" top="0.75" bottom="0.75" header="0.3" footer="0.3"/>
      <pageSetup paperSize="9" orientation="portrait" horizontalDpi="4294967292" verticalDpi="4294967292" r:id="rId1"/>
    </customSheetView>
  </customSheetViews>
  <mergeCells count="16">
    <mergeCell ref="A1:C1"/>
    <mergeCell ref="A43:C43"/>
    <mergeCell ref="A110:C110"/>
    <mergeCell ref="A117:C117"/>
    <mergeCell ref="A124:C124"/>
    <mergeCell ref="A7:C7"/>
    <mergeCell ref="A13:C13"/>
    <mergeCell ref="A19:C19"/>
    <mergeCell ref="A25:C25"/>
    <mergeCell ref="A31:C31"/>
    <mergeCell ref="A51:C51"/>
    <mergeCell ref="A58:C58"/>
    <mergeCell ref="A62:C62"/>
    <mergeCell ref="A66:C66"/>
    <mergeCell ref="A37:C37"/>
    <mergeCell ref="B98:D98"/>
  </mergeCells>
  <pageMargins left="0.7" right="0.7" top="0.75" bottom="0.75" header="0.3" footer="0.3"/>
  <pageSetup paperSize="9" orientation="portrait" horizontalDpi="4294967292" verticalDpi="4294967292"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24"/>
  <sheetViews>
    <sheetView workbookViewId="0">
      <selection activeCell="B28" sqref="B28"/>
    </sheetView>
  </sheetViews>
  <sheetFormatPr defaultRowHeight="15" x14ac:dyDescent="0.25"/>
  <cols>
    <col min="1" max="1" width="23.28515625" bestFit="1" customWidth="1"/>
    <col min="2" max="13" width="20" bestFit="1" customWidth="1"/>
    <col min="14" max="19" width="21.7109375" bestFit="1" customWidth="1"/>
  </cols>
  <sheetData>
    <row r="1" spans="1:19" ht="23.45" x14ac:dyDescent="0.8">
      <c r="A1" s="207" t="s">
        <v>162</v>
      </c>
      <c r="B1" s="207"/>
      <c r="C1" s="207"/>
    </row>
    <row r="2" spans="1:19" ht="14.45" x14ac:dyDescent="0.5">
      <c r="A2" t="s">
        <v>161</v>
      </c>
      <c r="B2">
        <v>2013</v>
      </c>
      <c r="C2">
        <v>2014</v>
      </c>
      <c r="D2">
        <v>2015</v>
      </c>
      <c r="E2">
        <v>2016</v>
      </c>
      <c r="F2">
        <v>2017</v>
      </c>
      <c r="G2">
        <v>2018</v>
      </c>
      <c r="H2">
        <v>2019</v>
      </c>
      <c r="I2">
        <v>2020</v>
      </c>
      <c r="J2">
        <v>2021</v>
      </c>
      <c r="K2">
        <v>2022</v>
      </c>
      <c r="L2">
        <v>2023</v>
      </c>
      <c r="M2">
        <v>2024</v>
      </c>
      <c r="N2">
        <v>2025</v>
      </c>
      <c r="O2">
        <v>2026</v>
      </c>
      <c r="P2">
        <v>2027</v>
      </c>
      <c r="Q2">
        <v>2028</v>
      </c>
      <c r="R2">
        <v>2029</v>
      </c>
      <c r="S2">
        <v>2030</v>
      </c>
    </row>
    <row r="3" spans="1:19" ht="14.45" x14ac:dyDescent="0.5">
      <c r="A3" t="s">
        <v>1</v>
      </c>
      <c r="B3" s="51">
        <f>'2010 Data'!$E3+2*('2010 Data'!$G3*'VoP Calculations'!I4)</f>
        <v>4550855400.1312532</v>
      </c>
      <c r="C3" s="51">
        <f>'2010 Data'!$E3+2*('2010 Data'!$G3*'VoP Calculations'!J4)</f>
        <v>4983182560.7591066</v>
      </c>
      <c r="D3" s="51">
        <f>'2010 Data'!$E3+2*('2010 Data'!$G3*'VoP Calculations'!K4)</f>
        <v>5461066260.9548883</v>
      </c>
      <c r="E3" s="51">
        <f>'2010 Data'!$E3+2*('2010 Data'!$G3*'VoP Calculations'!L4)</f>
        <v>5989307027.9267216</v>
      </c>
      <c r="F3" s="51">
        <f>'2010 Data'!$E3+2*('2010 Data'!$G3*'VoP Calculations'!M4)</f>
        <v>6573211245.1592245</v>
      </c>
      <c r="G3" s="51">
        <f>'2010 Data'!$E3+2*('2010 Data'!$G3*'VoP Calculations'!N4)</f>
        <v>7218644457.0947237</v>
      </c>
      <c r="H3" s="51">
        <f>'2010 Data'!$E3+2*('2010 Data'!$G3*'VoP Calculations'!O4)</f>
        <v>7932090290.8032646</v>
      </c>
      <c r="I3" s="51">
        <f>'2010 Data'!$E3+2*('2010 Data'!$G3*'VoP Calculations'!P4)</f>
        <v>8720715586.5324554</v>
      </c>
      <c r="J3" s="51">
        <f>'2010 Data'!$E3+2*('2010 Data'!$G3*'VoP Calculations'!Q4)</f>
        <v>9592442391.3987999</v>
      </c>
      <c r="K3" s="51">
        <f>'2010 Data'!$E3+2*('2010 Data'!$G3*'VoP Calculations'!R4)</f>
        <v>10556027539.425091</v>
      </c>
      <c r="L3" s="51">
        <f>'2010 Data'!$E3+2*('2010 Data'!$G3*'VoP Calculations'!S4)</f>
        <v>11621150617.336185</v>
      </c>
      <c r="M3" s="51">
        <f>'2010 Data'!$E3+2*('2010 Data'!$G3*'VoP Calculations'!T4)</f>
        <v>12798511199.763771</v>
      </c>
      <c r="N3" s="51">
        <f>'2010 Data'!$E3+2*('2010 Data'!$G3*'VoP Calculations'!U4)</f>
        <v>14099936330.625435</v>
      </c>
      <c r="O3" s="51">
        <f>'2010 Data'!$E3+2*('2010 Data'!$G3*'VoP Calculations'!V4)</f>
        <v>15538499330.370222</v>
      </c>
      <c r="P3" s="51">
        <f>'2010 Data'!$E3+2*('2010 Data'!$G3*'VoP Calculations'!W4)</f>
        <v>17128651122.555569</v>
      </c>
      <c r="Q3" s="51">
        <f>'2010 Data'!$E3+2*('2010 Data'!$G3*'VoP Calculations'!X4)</f>
        <v>18886365398.982014</v>
      </c>
      <c r="R3" s="51">
        <f>'2010 Data'!$E3+2*('2010 Data'!$G3*'VoP Calculations'!Y4)</f>
        <v>20829299081.625832</v>
      </c>
      <c r="S3" s="51">
        <f>'2010 Data'!$E3+2*('2010 Data'!$G3*'VoP Calculations'!Z4)</f>
        <v>22976969693.271938</v>
      </c>
    </row>
    <row r="4" spans="1:19" ht="14.45" x14ac:dyDescent="0.5">
      <c r="A4" t="s">
        <v>2</v>
      </c>
      <c r="B4" s="51">
        <f>'2010 Data'!$E4+2*('2010 Data'!$G4*'VoP Calculations'!I5)</f>
        <v>44792417150</v>
      </c>
      <c r="C4" s="51">
        <f>'2010 Data'!$E4+2*('2010 Data'!$G4*'VoP Calculations'!J5)</f>
        <v>52453906958.95826</v>
      </c>
      <c r="D4" s="51">
        <f>'2010 Data'!$E4+2*('2010 Data'!$G4*'VoP Calculations'!K5)</f>
        <v>61453090677.038483</v>
      </c>
      <c r="E4" s="51">
        <f>'2010 Data'!$E4+2*('2010 Data'!$G4*'VoP Calculations'!L5)</f>
        <v>72023529274.642212</v>
      </c>
      <c r="F4" s="51">
        <f>'2010 Data'!$E4+2*('2010 Data'!$G4*'VoP Calculations'!M5)</f>
        <v>84439563400.184769</v>
      </c>
      <c r="G4" s="51">
        <f>'2010 Data'!$E4+2*('2010 Data'!$G4*'VoP Calculations'!N5)</f>
        <v>99023433500.105133</v>
      </c>
      <c r="H4" s="51">
        <f>'2010 Data'!$E4+2*('2010 Data'!$G4*'VoP Calculations'!O5)</f>
        <v>116153643109.77444</v>
      </c>
      <c r="I4" s="51">
        <f>'2010 Data'!$E4+2*('2010 Data'!$G4*'VoP Calculations'!P5)</f>
        <v>136274782372.58296</v>
      </c>
      <c r="J4" s="51">
        <f>'2010 Data'!$E4+2*('2010 Data'!$G4*'VoP Calculations'!Q5)</f>
        <v>159909066742.62402</v>
      </c>
      <c r="K4" s="51">
        <f>'2010 Data'!$E4+2*('2010 Data'!$G4*'VoP Calculations'!R5)</f>
        <v>187669890341.53592</v>
      </c>
      <c r="L4" s="51">
        <f>'2010 Data'!$E4+2*('2010 Data'!$G4*'VoP Calculations'!S5)</f>
        <v>220277745727.5361</v>
      </c>
      <c r="M4" s="51">
        <f>'2010 Data'!$E4+2*('2010 Data'!$G4*'VoP Calculations'!T5)</f>
        <v>258578923251.53345</v>
      </c>
      <c r="N4" s="51">
        <f>'2010 Data'!$E4+2*('2010 Data'!$G4*'VoP Calculations'!U5)</f>
        <v>303567475315.42035</v>
      </c>
      <c r="O4" s="51">
        <f>'2010 Data'!$E4+2*('2010 Data'!$G4*'VoP Calculations'!V5)</f>
        <v>356411015583.52179</v>
      </c>
      <c r="P4" s="51">
        <f>'2010 Data'!$E4+2*('2010 Data'!$G4*'VoP Calculations'!W5)</f>
        <v>418481022728.91748</v>
      </c>
      <c r="Q4" s="51">
        <f>'2010 Data'!$E4+2*('2010 Data'!$G4*'VoP Calculations'!X5)</f>
        <v>491388435205.12335</v>
      </c>
      <c r="R4" s="51">
        <f>'2010 Data'!$E4+2*('2010 Data'!$G4*'VoP Calculations'!Y5)</f>
        <v>577025460854.63501</v>
      </c>
      <c r="S4" s="51">
        <f>'2010 Data'!$E4+2*('2010 Data'!$G4*'VoP Calculations'!Z5)</f>
        <v>677614686463.05371</v>
      </c>
    </row>
    <row r="5" spans="1:19" ht="14.45" x14ac:dyDescent="0.5">
      <c r="A5" t="s">
        <v>3</v>
      </c>
      <c r="B5" s="51">
        <f>'2010 Data'!$E5+2*('2010 Data'!$G5*'VoP Calculations'!I6)</f>
        <v>8182085191.1017885</v>
      </c>
      <c r="C5" s="51">
        <f>'2010 Data'!$E5+2*('2010 Data'!$G5*'VoP Calculations'!J6)</f>
        <v>8800583555.2871704</v>
      </c>
      <c r="D5" s="51">
        <f>'2010 Data'!$E5+2*('2010 Data'!$G5*'VoP Calculations'!K6)</f>
        <v>9512129599.2655449</v>
      </c>
      <c r="E5" s="51">
        <f>'2010 Data'!$E5+2*('2010 Data'!$G5*'VoP Calculations'!L6)</f>
        <v>10330721534.214504</v>
      </c>
      <c r="F5" s="51">
        <f>'2010 Data'!$E5+2*('2010 Data'!$G5*'VoP Calculations'!M6)</f>
        <v>11272463479.987787</v>
      </c>
      <c r="G5" s="51">
        <f>'2010 Data'!$E5+2*('2010 Data'!$G5*'VoP Calculations'!N6)</f>
        <v>12355882280.692379</v>
      </c>
      <c r="H5" s="51">
        <f>'2010 Data'!$E5+2*('2010 Data'!$G5*'VoP Calculations'!O6)</f>
        <v>13602291982.403553</v>
      </c>
      <c r="I5" s="51">
        <f>'2010 Data'!$E5+2*('2010 Data'!$G5*'VoP Calculations'!P6)</f>
        <v>15036213143.370487</v>
      </c>
      <c r="J5" s="51">
        <f>'2010 Data'!$E5+2*('2010 Data'!$G5*'VoP Calculations'!Q6)</f>
        <v>16685855225.782028</v>
      </c>
      <c r="K5" s="51">
        <f>'2010 Data'!$E5+2*('2010 Data'!$G5*'VoP Calculations'!R6)</f>
        <v>18583671559.162594</v>
      </c>
      <c r="L5" s="51">
        <f>'2010 Data'!$E5+2*('2010 Data'!$G5*'VoP Calculations'!S6)</f>
        <v>20766997793.166573</v>
      </c>
      <c r="M5" s="51">
        <f>'2010 Data'!$E5+2*('2010 Data'!$G5*'VoP Calculations'!T6)</f>
        <v>23278786400.022285</v>
      </c>
      <c r="N5" s="51">
        <f>'2010 Data'!$E5+2*('2010 Data'!$G5*'VoP Calculations'!U6)</f>
        <v>26168451676.456947</v>
      </c>
      <c r="O5" s="51">
        <f>'2010 Data'!$E5+2*('2010 Data'!$G5*'VoP Calculations'!V6)</f>
        <v>29492841868.784901</v>
      </c>
      <c r="P5" s="51">
        <f>'2010 Data'!$E5+2*('2010 Data'!$G5*'VoP Calculations'!W6)</f>
        <v>33317357545.729317</v>
      </c>
      <c r="Q5" s="51">
        <f>'2010 Data'!$E5+2*('2010 Data'!$G5*'VoP Calculations'!X6)</f>
        <v>37717238220.672249</v>
      </c>
      <c r="R5" s="51">
        <f>'2010 Data'!$E5+2*('2010 Data'!$G5*'VoP Calculations'!Y6)</f>
        <v>42779042534.990837</v>
      </c>
      <c r="S5" s="51">
        <f>'2010 Data'!$E5+2*('2010 Data'!$G5*'VoP Calculations'!Z6)</f>
        <v>48602351122.055313</v>
      </c>
    </row>
    <row r="6" spans="1:19" ht="14.45" x14ac:dyDescent="0.5">
      <c r="A6" t="s">
        <v>4</v>
      </c>
      <c r="B6" s="51">
        <f>'2010 Data'!$E6+2*('2010 Data'!$G6*'VoP Calculations'!I7)</f>
        <v>218381903100.00003</v>
      </c>
      <c r="C6" s="51">
        <f>'2010 Data'!$E6+2*('2010 Data'!$G6*'VoP Calculations'!J7)</f>
        <v>249958669302.95755</v>
      </c>
      <c r="D6" s="51">
        <f>'2010 Data'!$E6+2*('2010 Data'!$G6*'VoP Calculations'!K7)</f>
        <v>286101254146.02307</v>
      </c>
      <c r="E6" s="51">
        <f>'2010 Data'!$E6+2*('2010 Data'!$G6*'VoP Calculations'!L7)</f>
        <v>327469848724.14178</v>
      </c>
      <c r="F6" s="51">
        <f>'2010 Data'!$E6+2*('2010 Data'!$G6*'VoP Calculations'!M7)</f>
        <v>374820103964.59125</v>
      </c>
      <c r="G6" s="51">
        <f>'2010 Data'!$E6+2*('2010 Data'!$G6*'VoP Calculations'!N7)</f>
        <v>429016933569.27905</v>
      </c>
      <c r="H6" s="51">
        <f>'2010 Data'!$E6+2*('2010 Data'!$G6*'VoP Calculations'!O7)</f>
        <v>491050312783.04822</v>
      </c>
      <c r="I6" s="51">
        <f>'2010 Data'!$E6+2*('2010 Data'!$G6*'VoP Calculations'!P7)</f>
        <v>562053361572.94348</v>
      </c>
      <c r="J6" s="51">
        <f>'2010 Data'!$E6+2*('2010 Data'!$G6*'VoP Calculations'!Q7)</f>
        <v>643323042531.11438</v>
      </c>
      <c r="K6" s="51">
        <f>'2010 Data'!$E6+2*('2010 Data'!$G6*'VoP Calculations'!R7)</f>
        <v>736343851575.3429</v>
      </c>
      <c r="L6" s="51">
        <f>'2010 Data'!$E6+2*('2010 Data'!$G6*'VoP Calculations'!S7)</f>
        <v>842814934188.50586</v>
      </c>
      <c r="M6" s="51">
        <f>'2010 Data'!$E6+2*('2010 Data'!$G6*'VoP Calculations'!T7)</f>
        <v>964681122510.18604</v>
      </c>
      <c r="N6" s="51">
        <f>'2010 Data'!$E6+2*('2010 Data'!$G6*'VoP Calculations'!U7)</f>
        <v>1104168460213.082</v>
      </c>
      <c r="O6" s="51">
        <f>'2010 Data'!$E6+2*('2010 Data'!$G6*'VoP Calculations'!V7)</f>
        <v>1263824864072.0706</v>
      </c>
      <c r="P6" s="51">
        <f>'2010 Data'!$E6+2*('2010 Data'!$G6*'VoP Calculations'!W7)</f>
        <v>1446566664962.1113</v>
      </c>
      <c r="Q6" s="51">
        <f>'2010 Data'!$E6+2*('2010 Data'!$G6*'VoP Calculations'!X7)</f>
        <v>1655731878416.5615</v>
      </c>
      <c r="R6" s="51">
        <f>'2010 Data'!$E6+2*('2010 Data'!$G6*'VoP Calculations'!Y7)</f>
        <v>1895141177801.6052</v>
      </c>
      <c r="S6" s="51">
        <f>'2010 Data'!$E6+2*('2010 Data'!$G6*'VoP Calculations'!Z7)</f>
        <v>2169167683860.7461</v>
      </c>
    </row>
    <row r="7" spans="1:19" ht="14.45" x14ac:dyDescent="0.5">
      <c r="A7" t="s">
        <v>5</v>
      </c>
      <c r="B7" s="51">
        <f>'2010 Data'!$E7+2*('2010 Data'!$G7*'VoP Calculations'!I8)</f>
        <v>135721475795.58807</v>
      </c>
      <c r="C7" s="51">
        <f>'2010 Data'!$E7+2*('2010 Data'!$G7*'VoP Calculations'!J8)</f>
        <v>137852625940.17441</v>
      </c>
      <c r="D7" s="51">
        <f>'2010 Data'!$E7+2*('2010 Data'!$G7*'VoP Calculations'!K8)</f>
        <v>140093628839.0661</v>
      </c>
      <c r="E7" s="51">
        <f>'2010 Data'!$E7+2*('2010 Data'!$G7*'VoP Calculations'!L8)</f>
        <v>142450146987.54019</v>
      </c>
      <c r="F7" s="51">
        <f>'2010 Data'!$E7+2*('2010 Data'!$G7*'VoP Calculations'!M8)</f>
        <v>144928134761.15451</v>
      </c>
      <c r="G7" s="51">
        <f>'2010 Data'!$E7+2*('2010 Data'!$G7*'VoP Calculations'!N8)</f>
        <v>147533853461.07544</v>
      </c>
      <c r="H7" s="51">
        <f>'2010 Data'!$E7+2*('2010 Data'!$G7*'VoP Calculations'!O8)</f>
        <v>150273887134.93588</v>
      </c>
      <c r="I7" s="51">
        <f>'2010 Data'!$E7+2*('2010 Data'!$G7*'VoP Calculations'!P8)</f>
        <v>153155159213.19855</v>
      </c>
      <c r="J7" s="51">
        <f>'2010 Data'!$E7+2*('2010 Data'!$G7*'VoP Calculations'!Q8)</f>
        <v>156184950003.06125</v>
      </c>
      <c r="K7" s="51">
        <f>'2010 Data'!$E7+2*('2010 Data'!$G7*'VoP Calculations'!R8)</f>
        <v>159370915084.10699</v>
      </c>
      <c r="L7" s="51">
        <f>'2010 Data'!$E7+2*('2010 Data'!$G7*'VoP Calculations'!S8)</f>
        <v>162721104652.18039</v>
      </c>
      <c r="M7" s="51">
        <f>'2010 Data'!$E7+2*('2010 Data'!$G7*'VoP Calculations'!T8)</f>
        <v>166243983860.36792</v>
      </c>
      <c r="N7" s="51">
        <f>'2010 Data'!$E7+2*('2010 Data'!$G7*'VoP Calculations'!U8)</f>
        <v>169948454208.4794</v>
      </c>
      <c r="O7" s="51">
        <f>'2010 Data'!$E7+2*('2010 Data'!$G7*'VoP Calculations'!V8)</f>
        <v>173843876035.07599</v>
      </c>
      <c r="P7" s="51">
        <f>'2010 Data'!$E7+2*('2010 Data'!$G7*'VoP Calculations'!W8)</f>
        <v>177940092168.8779</v>
      </c>
      <c r="Q7" s="51">
        <f>'2010 Data'!$E7+2*('2010 Data'!$G7*'VoP Calculations'!X8)</f>
        <v>182247452799.31287</v>
      </c>
      <c r="R7" s="51">
        <f>'2010 Data'!$E7+2*('2010 Data'!$G7*'VoP Calculations'!Y8)</f>
        <v>186776841629.04749</v>
      </c>
      <c r="S7" s="51">
        <f>'2010 Data'!$E7+2*('2010 Data'!$G7*'VoP Calculations'!Z8)</f>
        <v>191539703374.58307</v>
      </c>
    </row>
    <row r="8" spans="1:19" ht="14.45" x14ac:dyDescent="0.5">
      <c r="A8" t="s">
        <v>6</v>
      </c>
      <c r="B8" s="51">
        <f>'2010 Data'!$E8+2*('2010 Data'!$G8*'VoP Calculations'!I9)</f>
        <v>51356354000</v>
      </c>
      <c r="C8" s="51">
        <f>'2010 Data'!$E8+2*('2010 Data'!$G8*'VoP Calculations'!J9)</f>
        <v>55396301906.937614</v>
      </c>
      <c r="D8" s="51">
        <f>'2010 Data'!$E8+2*('2010 Data'!$G8*'VoP Calculations'!K9)</f>
        <v>59754052341.110107</v>
      </c>
      <c r="E8" s="51">
        <f>'2010 Data'!$E8+2*('2010 Data'!$G8*'VoP Calculations'!L9)</f>
        <v>64454605240.299736</v>
      </c>
      <c r="F8" s="51">
        <f>'2010 Data'!$E8+2*('2010 Data'!$G8*'VoP Calculations'!M9)</f>
        <v>69524927162.549881</v>
      </c>
      <c r="G8" s="51">
        <f>'2010 Data'!$E8+2*('2010 Data'!$G8*'VoP Calculations'!N9)</f>
        <v>74994105990.360229</v>
      </c>
      <c r="H8" s="51">
        <f>'2010 Data'!$E8+2*('2010 Data'!$G8*'VoP Calculations'!O9)</f>
        <v>80893517804.688278</v>
      </c>
      <c r="I8" s="51">
        <f>'2010 Data'!$E8+2*('2010 Data'!$G8*'VoP Calculations'!P9)</f>
        <v>87257006886.095245</v>
      </c>
      <c r="J8" s="51">
        <f>'2010 Data'!$E8+2*('2010 Data'!$G8*'VoP Calculations'!Q9)</f>
        <v>94121079875.683289</v>
      </c>
      <c r="K8" s="51">
        <f>'2010 Data'!$E8+2*('2010 Data'!$G8*'VoP Calculations'!R9)</f>
        <v>101525115209.70396</v>
      </c>
      <c r="L8" s="51">
        <f>'2010 Data'!$E8+2*('2010 Data'!$G8*'VoP Calculations'!S9)</f>
        <v>109511589029.34161</v>
      </c>
      <c r="M8" s="51">
        <f>'2010 Data'!$E8+2*('2010 Data'!$G8*'VoP Calculations'!T9)</f>
        <v>118126318861.6911</v>
      </c>
      <c r="N8" s="51">
        <f>'2010 Data'!$E8+2*('2010 Data'!$G8*'VoP Calculations'!U9)</f>
        <v>127418726469.90125</v>
      </c>
      <c r="O8" s="51">
        <f>'2010 Data'!$E8+2*('2010 Data'!$G8*'VoP Calculations'!V9)</f>
        <v>137442121380.42651</v>
      </c>
      <c r="P8" s="51">
        <f>'2010 Data'!$E8+2*('2010 Data'!$G8*'VoP Calculations'!W9)</f>
        <v>148254006713.95154</v>
      </c>
      <c r="Q8" s="51">
        <f>'2010 Data'!$E8+2*('2010 Data'!$G8*'VoP Calculations'!X9)</f>
        <v>159916409074.50742</v>
      </c>
      <c r="R8" s="51">
        <f>'2010 Data'!$E8+2*('2010 Data'!$G8*'VoP Calculations'!Y9)</f>
        <v>172496234389.31726</v>
      </c>
      <c r="S8" s="51">
        <f>'2010 Data'!$E8+2*('2010 Data'!$G8*'VoP Calculations'!Z9)</f>
        <v>186065651740.78546</v>
      </c>
    </row>
    <row r="9" spans="1:19" ht="14.45" x14ac:dyDescent="0.5">
      <c r="A9" t="s">
        <v>7</v>
      </c>
      <c r="B9" s="51">
        <f>'2010 Data'!$E9+2*('2010 Data'!$G9*'VoP Calculations'!I10)</f>
        <v>25209368000</v>
      </c>
      <c r="C9" s="51">
        <f>'2010 Data'!$E9+2*('2010 Data'!$G9*'VoP Calculations'!J10)</f>
        <v>29570616094.84161</v>
      </c>
      <c r="D9" s="51">
        <f>'2010 Data'!$E9+2*('2010 Data'!$G9*'VoP Calculations'!K10)</f>
        <v>34686364855.656265</v>
      </c>
      <c r="E9" s="51">
        <f>'2010 Data'!$E9+2*('2010 Data'!$G9*'VoP Calculations'!L10)</f>
        <v>40687143718.645287</v>
      </c>
      <c r="F9" s="51">
        <f>'2010 Data'!$E9+2*('2010 Data'!$G9*'VoP Calculations'!M10)</f>
        <v>47726063854.504639</v>
      </c>
      <c r="G9" s="51">
        <f>'2010 Data'!$E9+2*('2010 Data'!$G9*'VoP Calculations'!N10)</f>
        <v>55982724833.064163</v>
      </c>
      <c r="H9" s="51">
        <f>'2010 Data'!$E9+2*('2010 Data'!$G9*'VoP Calculations'!O10)</f>
        <v>65667797145.160332</v>
      </c>
      <c r="I9" s="51">
        <f>'2010 Data'!$E9+2*('2010 Data'!$G9*'VoP Calculations'!P10)</f>
        <v>77028397505.779282</v>
      </c>
      <c r="J9" s="51">
        <f>'2010 Data'!$E9+2*('2010 Data'!$G9*'VoP Calculations'!Q10)</f>
        <v>90354394090.492615</v>
      </c>
      <c r="K9" s="51">
        <f>'2010 Data'!$E9+2*('2010 Data'!$G9*'VoP Calculations'!R10)</f>
        <v>105985802584.65752</v>
      </c>
      <c r="L9" s="51">
        <f>'2010 Data'!$E9+2*('2010 Data'!$G9*'VoP Calculations'!S10)</f>
        <v>124321461757.17609</v>
      </c>
      <c r="M9" s="51">
        <f>'2010 Data'!$E9+2*('2010 Data'!$G9*'VoP Calculations'!T10)</f>
        <v>145829209917.95535</v>
      </c>
      <c r="N9" s="51">
        <f>'2010 Data'!$E9+2*('2010 Data'!$G9*'VoP Calculations'!U10)</f>
        <v>171057821913.58093</v>
      </c>
      <c r="O9" s="51">
        <f>'2010 Data'!$E9+2*('2010 Data'!$G9*'VoP Calculations'!V10)</f>
        <v>200651011236.23117</v>
      </c>
      <c r="P9" s="51">
        <f>'2010 Data'!$E9+2*('2010 Data'!$G9*'VoP Calculations'!W10)</f>
        <v>235363854512.66931</v>
      </c>
      <c r="Q9" s="51">
        <f>'2010 Data'!$E9+2*('2010 Data'!$G9*'VoP Calculations'!X10)</f>
        <v>276082057447.70349</v>
      </c>
      <c r="R9" s="51">
        <f>'2010 Data'!$E9+2*('2010 Data'!$G9*'VoP Calculations'!Y10)</f>
        <v>323844553796.82843</v>
      </c>
      <c r="S9" s="51">
        <f>'2010 Data'!$E9+2*('2010 Data'!$G9*'VoP Calculations'!Z10)</f>
        <v>379870013985.72522</v>
      </c>
    </row>
    <row r="10" spans="1:19" ht="14.45" x14ac:dyDescent="0.5">
      <c r="A10" t="s">
        <v>8</v>
      </c>
      <c r="B10" s="51">
        <f>'2010 Data'!$E10+2*('2010 Data'!$G10*'VoP Calculations'!I11)</f>
        <v>47412534111.95343</v>
      </c>
      <c r="C10" s="51">
        <f>'2010 Data'!$E10+2*('2010 Data'!$G10*'VoP Calculations'!J11)</f>
        <v>47610087255.151001</v>
      </c>
      <c r="D10" s="51">
        <f>'2010 Data'!$E10+2*('2010 Data'!$G10*'VoP Calculations'!K11)</f>
        <v>47813125803.005798</v>
      </c>
      <c r="E10" s="51">
        <f>'2010 Data'!$E10+2*('2010 Data'!$G10*'VoP Calculations'!L11)</f>
        <v>48021802067.264275</v>
      </c>
      <c r="F10" s="51">
        <f>'2010 Data'!$E10+2*('2010 Data'!$G10*'VoP Calculations'!M11)</f>
        <v>48236272588.871887</v>
      </c>
      <c r="G10" s="51">
        <f>'2010 Data'!$E10+2*('2010 Data'!$G10*'VoP Calculations'!N11)</f>
        <v>48456698255.404175</v>
      </c>
      <c r="H10" s="51">
        <f>'2010 Data'!$E10+2*('2010 Data'!$G10*'VoP Calculations'!O11)</f>
        <v>48683244421.75843</v>
      </c>
      <c r="I10" s="51">
        <f>'2010 Data'!$E10+2*('2010 Data'!$G10*'VoP Calculations'!P11)</f>
        <v>48916081034.19664</v>
      </c>
      <c r="J10" s="51">
        <f>'2010 Data'!$E10+2*('2010 Data'!$G10*'VoP Calculations'!Q11)</f>
        <v>49155382757.832626</v>
      </c>
      <c r="K10" s="51">
        <f>'2010 Data'!$E10+2*('2010 Data'!$G10*'VoP Calculations'!R11)</f>
        <v>49401329107.659164</v>
      </c>
      <c r="L10" s="51">
        <f>'2010 Data'!$E10+2*('2010 Data'!$G10*'VoP Calculations'!S11)</f>
        <v>49654104583.213257</v>
      </c>
      <c r="M10" s="51">
        <f>'2010 Data'!$E10+2*('2010 Data'!$G10*'VoP Calculations'!T11)</f>
        <v>49913898806.980606</v>
      </c>
      <c r="N10" s="51">
        <f>'2010 Data'!$E10+2*('2010 Data'!$G10*'VoP Calculations'!U11)</f>
        <v>50180906666.643127</v>
      </c>
      <c r="O10" s="51">
        <f>'2010 Data'!$E10+2*('2010 Data'!$G10*'VoP Calculations'!V11)</f>
        <v>50455328461.276291</v>
      </c>
      <c r="P10" s="51">
        <f>'2010 Data'!$E10+2*('2010 Data'!$G10*'VoP Calculations'!W11)</f>
        <v>50737370051.605759</v>
      </c>
      <c r="Q10" s="51">
        <f>'2010 Data'!$E10+2*('2010 Data'!$G10*'VoP Calculations'!X11)</f>
        <v>51027243014.436241</v>
      </c>
      <c r="R10" s="51">
        <f>'2010 Data'!$E10+2*('2010 Data'!$G10*'VoP Calculations'!Y11)</f>
        <v>51325164801.368332</v>
      </c>
      <c r="S10" s="51">
        <f>'2010 Data'!$E10+2*('2010 Data'!$G10*'VoP Calculations'!Z11)</f>
        <v>51631358901.922363</v>
      </c>
    </row>
    <row r="11" spans="1:19" ht="14.45" x14ac:dyDescent="0.5">
      <c r="A11" t="s">
        <v>10</v>
      </c>
      <c r="B11" s="51">
        <f>'2010 Data'!$E11+2*('2010 Data'!$G11*'VoP Calculations'!I12)</f>
        <v>50208429000</v>
      </c>
      <c r="C11" s="51">
        <f>'2010 Data'!$E11+2*('2010 Data'!$G11*'VoP Calculations'!J12)</f>
        <v>52945805618.222275</v>
      </c>
      <c r="D11" s="51">
        <f>'2010 Data'!$E11+2*('2010 Data'!$G11*'VoP Calculations'!K12)</f>
        <v>55924056847.952248</v>
      </c>
      <c r="E11" s="51">
        <f>'2010 Data'!$E11+2*('2010 Data'!$G11*'VoP Calculations'!L12)</f>
        <v>59164378376.360901</v>
      </c>
      <c r="F11" s="51">
        <f>'2010 Data'!$E11+2*('2010 Data'!$G11*'VoP Calculations'!M12)</f>
        <v>62689830998.576584</v>
      </c>
      <c r="G11" s="51">
        <f>'2010 Data'!$E11+2*('2010 Data'!$G11*'VoP Calculations'!N12)</f>
        <v>66525504737.284637</v>
      </c>
      <c r="H11" s="51">
        <f>'2010 Data'!$E11+2*('2010 Data'!$G11*'VoP Calculations'!O12)</f>
        <v>70698697403.980621</v>
      </c>
      <c r="I11" s="51">
        <f>'2010 Data'!$E11+2*('2010 Data'!$G11*'VoP Calculations'!P12)</f>
        <v>75239108872.665924</v>
      </c>
      <c r="J11" s="51">
        <f>'2010 Data'!$E11+2*('2010 Data'!$G11*'VoP Calculations'!Q12)</f>
        <v>80179052448.597382</v>
      </c>
      <c r="K11" s="51">
        <f>'2010 Data'!$E11+2*('2010 Data'!$G11*'VoP Calculations'!R12)</f>
        <v>85553684836.364777</v>
      </c>
      <c r="L11" s="51">
        <f>'2010 Data'!$E11+2*('2010 Data'!$G11*'VoP Calculations'!S12)</f>
        <v>91401256343.9384</v>
      </c>
      <c r="M11" s="51">
        <f>'2010 Data'!$E11+2*('2010 Data'!$G11*'VoP Calculations'!T12)</f>
        <v>97763383103.344711</v>
      </c>
      <c r="N11" s="51">
        <f>'2010 Data'!$E11+2*('2010 Data'!$G11*'VoP Calculations'!U12)</f>
        <v>104685343245.31642</v>
      </c>
      <c r="O11" s="51">
        <f>'2010 Data'!$E11+2*('2010 Data'!$G11*'VoP Calculations'!V12)</f>
        <v>112216399135.73946</v>
      </c>
      <c r="P11" s="51">
        <f>'2010 Data'!$E11+2*('2010 Data'!$G11*'VoP Calculations'!W12)</f>
        <v>120410147967.19687</v>
      </c>
      <c r="Q11" s="51">
        <f>'2010 Data'!$E11+2*('2010 Data'!$G11*'VoP Calculations'!X12)</f>
        <v>129324903200.70747</v>
      </c>
      <c r="R11" s="51">
        <f>'2010 Data'!$E11+2*('2010 Data'!$G11*'VoP Calculations'!Y12)</f>
        <v>139024109572.31274</v>
      </c>
      <c r="S11" s="51">
        <f>'2010 Data'!$E11+2*('2010 Data'!$G11*'VoP Calculations'!Z12)</f>
        <v>149576794618.04022</v>
      </c>
    </row>
    <row r="14" spans="1:19" ht="23.45" x14ac:dyDescent="0.8">
      <c r="A14" s="207" t="str">
        <f>"AMS + DM Limits - VoP Growth Rate of "&amp;100*'VoP Calculations'!D15&amp;"%"</f>
        <v>AMS + DM Limits - VoP Growth Rate of 3%</v>
      </c>
      <c r="B14" s="207"/>
      <c r="C14" s="207"/>
    </row>
    <row r="15" spans="1:19" ht="14.45" x14ac:dyDescent="0.5">
      <c r="A15" t="s">
        <v>161</v>
      </c>
      <c r="B15">
        <v>2013</v>
      </c>
      <c r="C15">
        <v>2014</v>
      </c>
      <c r="D15">
        <v>2015</v>
      </c>
      <c r="E15">
        <v>2016</v>
      </c>
      <c r="F15">
        <v>2017</v>
      </c>
      <c r="G15">
        <v>2018</v>
      </c>
      <c r="H15">
        <v>2019</v>
      </c>
      <c r="I15">
        <v>2020</v>
      </c>
      <c r="J15">
        <v>2021</v>
      </c>
      <c r="K15">
        <v>2022</v>
      </c>
      <c r="L15">
        <v>2023</v>
      </c>
      <c r="M15">
        <v>2024</v>
      </c>
      <c r="N15">
        <v>2025</v>
      </c>
      <c r="O15">
        <v>2026</v>
      </c>
      <c r="P15">
        <v>2027</v>
      </c>
      <c r="Q15">
        <v>2028</v>
      </c>
      <c r="R15">
        <v>2029</v>
      </c>
      <c r="S15">
        <v>2030</v>
      </c>
    </row>
    <row r="16" spans="1:19" ht="14.45" x14ac:dyDescent="0.5">
      <c r="A16" t="s">
        <v>1</v>
      </c>
      <c r="B16" s="51">
        <f>'2010 Data'!$E3+2*('2010 Data'!$G3*'VoP Calculations'!B17)</f>
        <v>2639596400.1312532</v>
      </c>
      <c r="C16" s="51">
        <f>'2010 Data'!$E3+2*('2010 Data'!$G3*'VoP Calculations'!C17)</f>
        <v>3247875400.1312532</v>
      </c>
      <c r="D16" s="51">
        <f>'2010 Data'!$E3+2*('2010 Data'!$G3*'VoP Calculations'!D17)</f>
        <v>3913574400.1312532</v>
      </c>
      <c r="E16" s="51">
        <f>'2010 Data'!$E3+2*('2010 Data'!$G3*'VoP Calculations'!E17)</f>
        <v>3419759400.1312532</v>
      </c>
      <c r="F16" s="51">
        <f>'2010 Data'!$E3+2*('2010 Data'!$G3*'VoP Calculations'!F17)</f>
        <v>3616436400.1312532</v>
      </c>
      <c r="G16" s="51">
        <f>'2010 Data'!$E3+2*('2010 Data'!$G3*'VoP Calculations'!G17)</f>
        <v>4585201400.1312532</v>
      </c>
      <c r="H16" s="51">
        <f>'2010 Data'!$E3+2*('2010 Data'!$G3*'VoP Calculations'!H17)</f>
        <v>4710807400.1312532</v>
      </c>
      <c r="I16" s="51">
        <f>'2010 Data'!$E3+2*('2010 Data'!$G3*'VoP Calculations'!I17)</f>
        <v>4550855400.1312532</v>
      </c>
      <c r="J16" s="51">
        <f>'2010 Data'!$E3+2*('2010 Data'!$G3*'VoP Calculations'!J17)</f>
        <v>4673937690.1312532</v>
      </c>
      <c r="K16" s="51">
        <f>'2010 Data'!$E3+2*('2010 Data'!$G3*'VoP Calculations'!K17)</f>
        <v>4800712448.8312531</v>
      </c>
      <c r="L16" s="51">
        <f>'2010 Data'!$E3+2*('2010 Data'!$G3*'VoP Calculations'!L17)</f>
        <v>4931290450.2922535</v>
      </c>
      <c r="M16" s="51">
        <f>'2010 Data'!$E3+2*('2010 Data'!$G3*'VoP Calculations'!M17)</f>
        <v>5065785791.7970839</v>
      </c>
      <c r="N16" s="51">
        <f>'2010 Data'!$E3+2*('2010 Data'!$G3*'VoP Calculations'!N17)</f>
        <v>5204315993.5470581</v>
      </c>
      <c r="O16" s="51">
        <f>'2010 Data'!$E3+2*('2010 Data'!$G3*'VoP Calculations'!O17)</f>
        <v>5347002101.3495331</v>
      </c>
      <c r="P16" s="51">
        <f>'2010 Data'!$E3+2*('2010 Data'!$G3*'VoP Calculations'!P17)</f>
        <v>5493968792.3860817</v>
      </c>
      <c r="Q16" s="51">
        <f>'2010 Data'!$E3+2*('2010 Data'!$G3*'VoP Calculations'!Q17)</f>
        <v>5645344484.1537256</v>
      </c>
      <c r="R16" s="51">
        <f>'2010 Data'!$E3+2*('2010 Data'!$G3*'VoP Calculations'!R17)</f>
        <v>5801261446.6744003</v>
      </c>
      <c r="S16" s="51">
        <f>'2010 Data'!$E3+2*('2010 Data'!$G3*'VoP Calculations'!S17)</f>
        <v>5961855918.0706949</v>
      </c>
    </row>
    <row r="17" spans="1:19" ht="14.45" x14ac:dyDescent="0.5">
      <c r="A17" t="s">
        <v>2</v>
      </c>
      <c r="B17" s="51">
        <f>'2010 Data'!$E4+2*('2010 Data'!$G4*'VoP Calculations'!B18)</f>
        <v>16341193150</v>
      </c>
      <c r="C17" s="51">
        <f>'2010 Data'!$E4+2*('2010 Data'!$G4*'VoP Calculations'!C18)</f>
        <v>22710165150</v>
      </c>
      <c r="D17" s="51">
        <f>'2010 Data'!$E4+2*('2010 Data'!$G4*'VoP Calculations'!D18)</f>
        <v>30060091150</v>
      </c>
      <c r="E17" s="51">
        <f>'2010 Data'!$E4+2*('2010 Data'!$G4*'VoP Calculations'!E18)</f>
        <v>27610459150</v>
      </c>
      <c r="F17" s="51">
        <f>'2010 Data'!$E4+2*('2010 Data'!$G4*'VoP Calculations'!F18)</f>
        <v>33421571150</v>
      </c>
      <c r="G17" s="51">
        <f>'2010 Data'!$E4+2*('2010 Data'!$G4*'VoP Calculations'!G18)</f>
        <v>42755149150</v>
      </c>
      <c r="H17" s="51">
        <f>'2010 Data'!$E4+2*('2010 Data'!$G4*'VoP Calculations'!H18)</f>
        <v>41364295150</v>
      </c>
      <c r="I17" s="51">
        <f>'2010 Data'!$E4+2*('2010 Data'!$G4*'VoP Calculations'!I18)</f>
        <v>44792417150</v>
      </c>
      <c r="J17" s="51">
        <f>'2010 Data'!$E4+2*('2010 Data'!$G4*'VoP Calculations'!J18)</f>
        <v>46108826510</v>
      </c>
      <c r="K17" s="51">
        <f>'2010 Data'!$E4+2*('2010 Data'!$G4*'VoP Calculations'!K18)</f>
        <v>47464728150.800003</v>
      </c>
      <c r="L17" s="51">
        <f>'2010 Data'!$E4+2*('2010 Data'!$G4*'VoP Calculations'!L18)</f>
        <v>48861306840.824005</v>
      </c>
      <c r="M17" s="51">
        <f>'2010 Data'!$E4+2*('2010 Data'!$G4*'VoP Calculations'!M18)</f>
        <v>50299782891.548721</v>
      </c>
      <c r="N17" s="51">
        <f>'2010 Data'!$E4+2*('2010 Data'!$G4*'VoP Calculations'!N18)</f>
        <v>51781413223.795181</v>
      </c>
      <c r="O17" s="51">
        <f>'2010 Data'!$E4+2*('2010 Data'!$G4*'VoP Calculations'!O18)</f>
        <v>53307492466.009033</v>
      </c>
      <c r="P17" s="51">
        <f>'2010 Data'!$E4+2*('2010 Data'!$G4*'VoP Calculations'!P18)</f>
        <v>54879354085.489311</v>
      </c>
      <c r="Q17" s="51">
        <f>'2010 Data'!$E4+2*('2010 Data'!$G4*'VoP Calculations'!Q18)</f>
        <v>56498371553.553993</v>
      </c>
      <c r="R17" s="51">
        <f>'2010 Data'!$E4+2*('2010 Data'!$G4*'VoP Calculations'!R18)</f>
        <v>58165959545.660614</v>
      </c>
      <c r="S17" s="51">
        <f>'2010 Data'!$E4+2*('2010 Data'!$G4*'VoP Calculations'!S18)</f>
        <v>59883575177.530426</v>
      </c>
    </row>
    <row r="18" spans="1:19" x14ac:dyDescent="0.25">
      <c r="A18" t="s">
        <v>3</v>
      </c>
      <c r="B18" s="51">
        <f>'2010 Data'!$E5+2*('2010 Data'!$G5*'VoP Calculations'!B19)</f>
        <v>5782343191.1017885</v>
      </c>
      <c r="C18" s="51">
        <f>'2010 Data'!$E5+2*('2010 Data'!$G5*'VoP Calculations'!C19)</f>
        <v>6260005191.1017885</v>
      </c>
      <c r="D18" s="51">
        <f>'2010 Data'!$E5+2*('2010 Data'!$G5*'VoP Calculations'!D19)</f>
        <v>7268794191.1017885</v>
      </c>
      <c r="E18" s="51">
        <f>'2010 Data'!$E5+2*('2010 Data'!$G5*'VoP Calculations'!E19)</f>
        <v>6649163191.1017885</v>
      </c>
      <c r="F18" s="51">
        <f>'2010 Data'!$E5+2*('2010 Data'!$G5*'VoP Calculations'!F19)</f>
        <v>6687609191.1017885</v>
      </c>
      <c r="G18" s="51">
        <f>'2010 Data'!$E5+2*('2010 Data'!$G5*'VoP Calculations'!G19)</f>
        <v>7326502191.1017885</v>
      </c>
      <c r="H18" s="51">
        <f>'2010 Data'!$E5+2*('2010 Data'!$G5*'VoP Calculations'!H19)</f>
        <v>7798103191.1017885</v>
      </c>
      <c r="I18" s="51">
        <f>'2010 Data'!$E5+2*('2010 Data'!$G5*'VoP Calculations'!I19)</f>
        <v>8182085191.1017885</v>
      </c>
      <c r="J18" s="51">
        <f>'2010 Data'!$E5+2*('2010 Data'!$G5*'VoP Calculations'!J19)</f>
        <v>8305422031.1017885</v>
      </c>
      <c r="K18" s="51">
        <f>'2010 Data'!$E5+2*('2010 Data'!$G5*'VoP Calculations'!K19)</f>
        <v>8432458976.3017883</v>
      </c>
      <c r="L18" s="51">
        <f>'2010 Data'!$E5+2*('2010 Data'!$G5*'VoP Calculations'!L19)</f>
        <v>8563307029.8577881</v>
      </c>
      <c r="M18" s="51">
        <f>'2010 Data'!$E5+2*('2010 Data'!$G5*'VoP Calculations'!M19)</f>
        <v>8698080525.0204697</v>
      </c>
      <c r="N18" s="51">
        <f>'2010 Data'!$E5+2*('2010 Data'!$G5*'VoP Calculations'!N19)</f>
        <v>8836897225.0380287</v>
      </c>
      <c r="O18" s="51">
        <f>'2010 Data'!$E5+2*('2010 Data'!$G5*'VoP Calculations'!O19)</f>
        <v>8979878426.0561161</v>
      </c>
      <c r="P18" s="51">
        <f>'2010 Data'!$E5+2*('2010 Data'!$G5*'VoP Calculations'!P19)</f>
        <v>9127149063.1047459</v>
      </c>
      <c r="Q18" s="51">
        <f>'2010 Data'!$E5+2*('2010 Data'!$G5*'VoP Calculations'!Q19)</f>
        <v>9278837819.2648354</v>
      </c>
      <c r="R18" s="51">
        <f>'2010 Data'!$E5+2*('2010 Data'!$G5*'VoP Calculations'!R19)</f>
        <v>9435077238.109726</v>
      </c>
      <c r="S18" s="51">
        <f>'2010 Data'!$E5+2*('2010 Data'!$G5*'VoP Calculations'!S19)</f>
        <v>9596003839.5199623</v>
      </c>
    </row>
    <row r="19" spans="1:19" x14ac:dyDescent="0.25">
      <c r="A19" t="s">
        <v>4</v>
      </c>
      <c r="B19" s="51">
        <f>'2010 Data'!$E6+2*('2010 Data'!$G6*'VoP Calculations'!B20)</f>
        <v>87233609600</v>
      </c>
      <c r="C19" s="51">
        <f>'2010 Data'!$E6+2*('2010 Data'!$G6*'VoP Calculations'!C20)</f>
        <v>104454619800</v>
      </c>
      <c r="D19" s="51">
        <f>'2010 Data'!$E6+2*('2010 Data'!$G6*'VoP Calculations'!D20)</f>
        <v>130685985300.00002</v>
      </c>
      <c r="E19" s="51">
        <f>'2010 Data'!$E6+2*('2010 Data'!$G6*'VoP Calculations'!E20)</f>
        <v>131736575100.00002</v>
      </c>
      <c r="F19" s="51">
        <f>'2010 Data'!$E6+2*('2010 Data'!$G6*'VoP Calculations'!F20)</f>
        <v>150826621400</v>
      </c>
      <c r="G19" s="51">
        <f>'2010 Data'!$E6+2*('2010 Data'!$G6*'VoP Calculations'!G20)</f>
        <v>195952575700</v>
      </c>
      <c r="H19" s="51">
        <f>'2010 Data'!$E6+2*('2010 Data'!$G6*'VoP Calculations'!H20)</f>
        <v>209051862800</v>
      </c>
      <c r="I19" s="51">
        <f>'2010 Data'!$E6+2*('2010 Data'!$G6*'VoP Calculations'!I20)</f>
        <v>218381903100.00003</v>
      </c>
      <c r="J19" s="51">
        <f>'2010 Data'!$E6+2*('2010 Data'!$G6*'VoP Calculations'!J20)</f>
        <v>224933360193.00003</v>
      </c>
      <c r="K19" s="51">
        <f>'2010 Data'!$E6+2*('2010 Data'!$G6*'VoP Calculations'!K20)</f>
        <v>231681360998.79001</v>
      </c>
      <c r="L19" s="51">
        <f>'2010 Data'!$E6+2*('2010 Data'!$G6*'VoP Calculations'!L20)</f>
        <v>238631801828.75372</v>
      </c>
      <c r="M19" s="51">
        <f>'2010 Data'!$E6+2*('2010 Data'!$G6*'VoP Calculations'!M20)</f>
        <v>245790755883.61636</v>
      </c>
      <c r="N19" s="51">
        <f>'2010 Data'!$E6+2*('2010 Data'!$G6*'VoP Calculations'!N20)</f>
        <v>253164478560.12485</v>
      </c>
      <c r="O19" s="51">
        <f>'2010 Data'!$E6+2*('2010 Data'!$G6*'VoP Calculations'!O20)</f>
        <v>260759412916.92859</v>
      </c>
      <c r="P19" s="51">
        <f>'2010 Data'!$E6+2*('2010 Data'!$G6*'VoP Calculations'!P20)</f>
        <v>268582195304.43643</v>
      </c>
      <c r="Q19" s="51">
        <f>'2010 Data'!$E6+2*('2010 Data'!$G6*'VoP Calculations'!Q20)</f>
        <v>276639661163.56952</v>
      </c>
      <c r="R19" s="51">
        <f>'2010 Data'!$E6+2*('2010 Data'!$G6*'VoP Calculations'!R20)</f>
        <v>284938850998.47662</v>
      </c>
      <c r="S19" s="51">
        <f>'2010 Data'!$E6+2*('2010 Data'!$G6*'VoP Calculations'!S20)</f>
        <v>293487016528.43097</v>
      </c>
    </row>
    <row r="20" spans="1:19" x14ac:dyDescent="0.25">
      <c r="A20" t="s">
        <v>5</v>
      </c>
      <c r="B20" s="51">
        <f>'2010 Data'!$E7+2*('2010 Data'!$G7*'VoP Calculations'!B21)</f>
        <v>125135495795.58807</v>
      </c>
      <c r="C20" s="51">
        <f>'2010 Data'!$E7+2*('2010 Data'!$G7*'VoP Calculations'!C21)</f>
        <v>131395538795.58807</v>
      </c>
      <c r="D20" s="51">
        <f>'2010 Data'!$E7+2*('2010 Data'!$G7*'VoP Calculations'!D21)</f>
        <v>136316061795.58807</v>
      </c>
      <c r="E20" s="51">
        <f>'2010 Data'!$E7+2*('2010 Data'!$G7*'VoP Calculations'!E21)</f>
        <v>128273123795.58807</v>
      </c>
      <c r="F20" s="51">
        <f>'2010 Data'!$E7+2*('2010 Data'!$G7*'VoP Calculations'!F21)</f>
        <v>129824164795.58807</v>
      </c>
      <c r="G20" s="51">
        <f>'2010 Data'!$E7+2*('2010 Data'!$G7*'VoP Calculations'!G21)</f>
        <v>135701684795.58807</v>
      </c>
      <c r="H20" s="51">
        <f>'2010 Data'!$E7+2*('2010 Data'!$G7*'VoP Calculations'!H21)</f>
        <v>133145876795.58807</v>
      </c>
      <c r="I20" s="51">
        <f>'2010 Data'!$E7+2*('2010 Data'!$G7*'VoP Calculations'!I21)</f>
        <v>135721475795.58807</v>
      </c>
      <c r="J20" s="51">
        <f>'2010 Data'!$E7+2*('2010 Data'!$G7*'VoP Calculations'!J21)</f>
        <v>136961809085.58807</v>
      </c>
      <c r="K20" s="51">
        <f>'2010 Data'!$E7+2*('2010 Data'!$G7*'VoP Calculations'!K21)</f>
        <v>138239352374.28809</v>
      </c>
      <c r="L20" s="51">
        <f>'2010 Data'!$E7+2*('2010 Data'!$G7*'VoP Calculations'!L21)</f>
        <v>139555221961.64908</v>
      </c>
      <c r="M20" s="51">
        <f>'2010 Data'!$E7+2*('2010 Data'!$G7*'VoP Calculations'!M21)</f>
        <v>140910567636.63092</v>
      </c>
      <c r="N20" s="51">
        <f>'2010 Data'!$E7+2*('2010 Data'!$G7*'VoP Calculations'!N21)</f>
        <v>142306573681.86218</v>
      </c>
      <c r="O20" s="51">
        <f>'2010 Data'!$E7+2*('2010 Data'!$G7*'VoP Calculations'!O21)</f>
        <v>143744459908.45041</v>
      </c>
      <c r="P20" s="51">
        <f>'2010 Data'!$E7+2*('2010 Data'!$G7*'VoP Calculations'!P21)</f>
        <v>145225482721.8363</v>
      </c>
      <c r="Q20" s="51">
        <f>'2010 Data'!$E7+2*('2010 Data'!$G7*'VoP Calculations'!Q21)</f>
        <v>146750936219.62372</v>
      </c>
      <c r="R20" s="51">
        <f>'2010 Data'!$E7+2*('2010 Data'!$G7*'VoP Calculations'!R21)</f>
        <v>148322153322.34479</v>
      </c>
      <c r="S20" s="51">
        <f>'2010 Data'!$E7+2*('2010 Data'!$G7*'VoP Calculations'!S21)</f>
        <v>149940506938.14749</v>
      </c>
    </row>
    <row r="21" spans="1:19" x14ac:dyDescent="0.25">
      <c r="A21" t="s">
        <v>6</v>
      </c>
      <c r="B21" s="51">
        <f>'2010 Data'!$E8+2*('2010 Data'!$G8*'VoP Calculations'!B22)</f>
        <v>31111702000</v>
      </c>
      <c r="C21" s="51">
        <f>'2010 Data'!$E8+2*('2010 Data'!$G8*'VoP Calculations'!C22)</f>
        <v>39926360000</v>
      </c>
      <c r="D21" s="51">
        <f>'2010 Data'!$E8+2*('2010 Data'!$G8*'VoP Calculations'!D22)</f>
        <v>43012342000</v>
      </c>
      <c r="E21" s="51">
        <f>'2010 Data'!$E8+2*('2010 Data'!$G8*'VoP Calculations'!E22)</f>
        <v>41379604000</v>
      </c>
      <c r="F21" s="51">
        <f>'2010 Data'!$E8+2*('2010 Data'!$G8*'VoP Calculations'!F22)</f>
        <v>46126178000</v>
      </c>
      <c r="G21" s="51">
        <f>'2010 Data'!$E8+2*('2010 Data'!$G8*'VoP Calculations'!G22)</f>
        <v>49472700000</v>
      </c>
      <c r="H21" s="51">
        <f>'2010 Data'!$E8+2*('2010 Data'!$G8*'VoP Calculations'!H22)</f>
        <v>47734470000</v>
      </c>
      <c r="I21" s="51">
        <f>'2010 Data'!$E8+2*('2010 Data'!$G8*'VoP Calculations'!I22)</f>
        <v>51356354000</v>
      </c>
      <c r="J21" s="51">
        <f>'2010 Data'!$E8+2*('2010 Data'!$G8*'VoP Calculations'!J22)</f>
        <v>52897044620</v>
      </c>
      <c r="K21" s="51">
        <f>'2010 Data'!$E8+2*('2010 Data'!$G8*'VoP Calculations'!K22)</f>
        <v>54483955958.600006</v>
      </c>
      <c r="L21" s="51">
        <f>'2010 Data'!$E8+2*('2010 Data'!$G8*'VoP Calculations'!L22)</f>
        <v>56118474637.358002</v>
      </c>
      <c r="M21" s="51">
        <f>'2010 Data'!$E8+2*('2010 Data'!$G8*'VoP Calculations'!M22)</f>
        <v>57802028876.478737</v>
      </c>
      <c r="N21" s="51">
        <f>'2010 Data'!$E8+2*('2010 Data'!$G8*'VoP Calculations'!N22)</f>
        <v>59536089742.773102</v>
      </c>
      <c r="O21" s="51">
        <f>'2010 Data'!$E8+2*('2010 Data'!$G8*'VoP Calculations'!O22)</f>
        <v>61322172435.05629</v>
      </c>
      <c r="P21" s="51">
        <f>'2010 Data'!$E8+2*('2010 Data'!$G8*'VoP Calculations'!P22)</f>
        <v>63161837608.107971</v>
      </c>
      <c r="Q21" s="51">
        <f>'2010 Data'!$E8+2*('2010 Data'!$G8*'VoP Calculations'!Q22)</f>
        <v>65056692736.351212</v>
      </c>
      <c r="R21" s="51">
        <f>'2010 Data'!$E8+2*('2010 Data'!$G8*'VoP Calculations'!R22)</f>
        <v>67008393518.44175</v>
      </c>
      <c r="S21" s="51">
        <f>'2010 Data'!$E8+2*('2010 Data'!$G8*'VoP Calculations'!S22)</f>
        <v>69018645323.994995</v>
      </c>
    </row>
    <row r="22" spans="1:19" x14ac:dyDescent="0.25">
      <c r="A22" t="s">
        <v>7</v>
      </c>
      <c r="B22" s="51">
        <f>'2010 Data'!$E9+2*('2010 Data'!$G9*'VoP Calculations'!B23)</f>
        <v>9216450000</v>
      </c>
      <c r="C22" s="51">
        <f>'2010 Data'!$E9+2*('2010 Data'!$G9*'VoP Calculations'!C23)</f>
        <v>10985478000</v>
      </c>
      <c r="D22" s="51">
        <f>'2010 Data'!$E9+2*('2010 Data'!$G9*'VoP Calculations'!D23)</f>
        <v>13481302000</v>
      </c>
      <c r="E22" s="51">
        <f>'2010 Data'!$E9+2*('2010 Data'!$G9*'VoP Calculations'!E23)</f>
        <v>13559770000.000002</v>
      </c>
      <c r="F22" s="51">
        <f>'2010 Data'!$E9+2*('2010 Data'!$G9*'VoP Calculations'!F23)</f>
        <v>18491138000</v>
      </c>
      <c r="G22" s="51">
        <f>'2010 Data'!$E9+2*('2010 Data'!$G9*'VoP Calculations'!G23)</f>
        <v>28223174000</v>
      </c>
      <c r="H22" s="51">
        <f>'2010 Data'!$E9+2*('2010 Data'!$G9*'VoP Calculations'!H23)</f>
        <v>28859560000</v>
      </c>
      <c r="I22" s="51">
        <f>'2010 Data'!$E9+2*('2010 Data'!$G9*'VoP Calculations'!I23)</f>
        <v>25209368000</v>
      </c>
      <c r="J22" s="51">
        <f>'2010 Data'!$E9+2*('2010 Data'!$G9*'VoP Calculations'!J23)</f>
        <v>25965649040</v>
      </c>
      <c r="K22" s="51">
        <f>'2010 Data'!$E9+2*('2010 Data'!$G9*'VoP Calculations'!K23)</f>
        <v>26744618511.200001</v>
      </c>
      <c r="L22" s="51">
        <f>'2010 Data'!$E9+2*('2010 Data'!$G9*'VoP Calculations'!L23)</f>
        <v>27546957066.535999</v>
      </c>
      <c r="M22" s="51">
        <f>'2010 Data'!$E9+2*('2010 Data'!$G9*'VoP Calculations'!M23)</f>
        <v>28373365778.532082</v>
      </c>
      <c r="N22" s="51">
        <f>'2010 Data'!$E9+2*('2010 Data'!$G9*'VoP Calculations'!N23)</f>
        <v>29224566751.888046</v>
      </c>
      <c r="O22" s="51">
        <f>'2010 Data'!$E9+2*('2010 Data'!$G9*'VoP Calculations'!O23)</f>
        <v>30101303754.444687</v>
      </c>
      <c r="P22" s="51">
        <f>'2010 Data'!$E9+2*('2010 Data'!$G9*'VoP Calculations'!P23)</f>
        <v>31004342867.07803</v>
      </c>
      <c r="Q22" s="51">
        <f>'2010 Data'!$E9+2*('2010 Data'!$G9*'VoP Calculations'!Q23)</f>
        <v>31934473153.09037</v>
      </c>
      <c r="R22" s="51">
        <f>'2010 Data'!$E9+2*('2010 Data'!$G9*'VoP Calculations'!R23)</f>
        <v>32892507347.683083</v>
      </c>
      <c r="S22" s="51">
        <f>'2010 Data'!$E9+2*('2010 Data'!$G9*'VoP Calculations'!S23)</f>
        <v>33879282568.113575</v>
      </c>
    </row>
    <row r="23" spans="1:19" x14ac:dyDescent="0.25">
      <c r="A23" t="s">
        <v>8</v>
      </c>
      <c r="B23" s="51">
        <f>'2010 Data'!$E10+2*('2010 Data'!$G10*'VoP Calculations'!B24)</f>
        <v>46384205111.95343</v>
      </c>
      <c r="C23" s="51">
        <f>'2010 Data'!$E10+2*('2010 Data'!$G10*'VoP Calculations'!C24)</f>
        <v>46139829111.95343</v>
      </c>
      <c r="D23" s="51">
        <f>'2010 Data'!$E10+2*('2010 Data'!$G10*'VoP Calculations'!D24)</f>
        <v>46988349111.95343</v>
      </c>
      <c r="E23" s="51">
        <f>'2010 Data'!$E10+2*('2010 Data'!$G10*'VoP Calculations'!E24)</f>
        <v>47470963111.95343</v>
      </c>
      <c r="F23" s="51">
        <f>'2010 Data'!$E10+2*('2010 Data'!$G10*'VoP Calculations'!F24)</f>
        <v>48067160111.95343</v>
      </c>
      <c r="G23" s="51">
        <f>'2010 Data'!$E10+2*('2010 Data'!$G10*'VoP Calculations'!G24)</f>
        <v>48491804111.95343</v>
      </c>
      <c r="H23" s="51">
        <f>'2010 Data'!$E10+2*('2010 Data'!$G10*'VoP Calculations'!H24)</f>
        <v>48991799111.95343</v>
      </c>
      <c r="I23" s="51">
        <f>'2010 Data'!$E10+2*('2010 Data'!$G10*'VoP Calculations'!I24)</f>
        <v>47412534111.95343</v>
      </c>
      <c r="J23" s="51">
        <f>'2010 Data'!$E10+2*('2010 Data'!$G10*'VoP Calculations'!J24)</f>
        <v>47625976401.95343</v>
      </c>
      <c r="K23" s="51">
        <f>'2010 Data'!$E10+2*('2010 Data'!$G10*'VoP Calculations'!K24)</f>
        <v>47845821960.653427</v>
      </c>
      <c r="L23" s="51">
        <f>'2010 Data'!$E10+2*('2010 Data'!$G10*'VoP Calculations'!L24)</f>
        <v>48072262886.114433</v>
      </c>
      <c r="M23" s="51">
        <f>'2010 Data'!$E10+2*('2010 Data'!$G10*'VoP Calculations'!M24)</f>
        <v>48305497039.339264</v>
      </c>
      <c r="N23" s="51">
        <f>'2010 Data'!$E10+2*('2010 Data'!$G10*'VoP Calculations'!N24)</f>
        <v>48545728217.160835</v>
      </c>
      <c r="O23" s="51">
        <f>'2010 Data'!$E10+2*('2010 Data'!$G10*'VoP Calculations'!O24)</f>
        <v>48793166330.317062</v>
      </c>
      <c r="P23" s="51">
        <f>'2010 Data'!$E10+2*('2010 Data'!$G10*'VoP Calculations'!P24)</f>
        <v>49048027586.867966</v>
      </c>
      <c r="Q23" s="51">
        <f>'2010 Data'!$E10+2*('2010 Data'!$G10*'VoP Calculations'!Q24)</f>
        <v>49310534681.115402</v>
      </c>
      <c r="R23" s="51">
        <f>'2010 Data'!$E10+2*('2010 Data'!$G10*'VoP Calculations'!R24)</f>
        <v>49580916988.190262</v>
      </c>
      <c r="S23" s="51">
        <f>'2010 Data'!$E10+2*('2010 Data'!$G10*'VoP Calculations'!S24)</f>
        <v>49859410764.477371</v>
      </c>
    </row>
    <row r="24" spans="1:19" x14ac:dyDescent="0.25">
      <c r="A24" t="s">
        <v>10</v>
      </c>
      <c r="B24" s="51">
        <f>'2010 Data'!$E11+2*('2010 Data'!$G11*'VoP Calculations'!B25)</f>
        <v>37275354000</v>
      </c>
      <c r="C24" s="51">
        <f>'2010 Data'!$E11+2*('2010 Data'!$G11*'VoP Calculations'!C25)</f>
        <v>43507358000</v>
      </c>
      <c r="D24" s="51">
        <f>'2010 Data'!$E11+2*('2010 Data'!$G11*'VoP Calculations'!D25)</f>
        <v>44029063000</v>
      </c>
      <c r="E24" s="51">
        <f>'2010 Data'!$E11+2*('2010 Data'!$G11*'VoP Calculations'!E25)</f>
        <v>41804075000</v>
      </c>
      <c r="F24" s="51">
        <f>'2010 Data'!$E11+2*('2010 Data'!$G11*'VoP Calculations'!F25)</f>
        <v>46696855000</v>
      </c>
      <c r="G24" s="51">
        <f>'2010 Data'!$E11+2*('2010 Data'!$G11*'VoP Calculations'!G25)</f>
        <v>49508893000</v>
      </c>
      <c r="H24" s="51">
        <f>'2010 Data'!$E11+2*('2010 Data'!$G11*'VoP Calculations'!H25)</f>
        <v>50668008000</v>
      </c>
      <c r="I24" s="51">
        <f>'2010 Data'!$E11+2*('2010 Data'!$G11*'VoP Calculations'!I25)</f>
        <v>50208429000</v>
      </c>
      <c r="J24" s="51">
        <f>'2010 Data'!$E11+2*('2010 Data'!$G11*'VoP Calculations'!J25)</f>
        <v>51141681870</v>
      </c>
      <c r="K24" s="51">
        <f>'2010 Data'!$E11+2*('2010 Data'!$G11*'VoP Calculations'!K25)</f>
        <v>52102932326.100006</v>
      </c>
      <c r="L24" s="51">
        <f>'2010 Data'!$E11+2*('2010 Data'!$G11*'VoP Calculations'!L25)</f>
        <v>53093020295.883003</v>
      </c>
      <c r="M24" s="51">
        <f>'2010 Data'!$E11+2*('2010 Data'!$G11*'VoP Calculations'!M25)</f>
        <v>54112810904.759491</v>
      </c>
      <c r="N24" s="51">
        <f>'2010 Data'!$E11+2*('2010 Data'!$G11*'VoP Calculations'!N25)</f>
        <v>55163195231.902275</v>
      </c>
      <c r="O24" s="51">
        <f>'2010 Data'!$E11+2*('2010 Data'!$G11*'VoP Calculations'!O25)</f>
        <v>56245091088.859344</v>
      </c>
      <c r="P24" s="51">
        <f>'2010 Data'!$E11+2*('2010 Data'!$G11*'VoP Calculations'!P25)</f>
        <v>57359443821.525124</v>
      </c>
      <c r="Q24" s="51">
        <f>'2010 Data'!$E11+2*('2010 Data'!$G11*'VoP Calculations'!Q25)</f>
        <v>58507227136.170876</v>
      </c>
      <c r="R24" s="51">
        <f>'2010 Data'!$E11+2*('2010 Data'!$G11*'VoP Calculations'!R25)</f>
        <v>59689443950.256004</v>
      </c>
      <c r="S24" s="51">
        <f>'2010 Data'!$E11+2*('2010 Data'!$G11*'VoP Calculations'!S25)</f>
        <v>60907127268.76368</v>
      </c>
    </row>
  </sheetData>
  <customSheetViews>
    <customSheetView guid="{821D1691-1FA5-412F-8FF4-9E35B3587D16}">
      <selection activeCell="B7" sqref="B7"/>
      <pageMargins left="0.7" right="0.7" top="0.75" bottom="0.75" header="0.3" footer="0.3"/>
      <pageSetup paperSize="9" orientation="portrait" horizontalDpi="4294967292" verticalDpi="4294967292" r:id="rId1"/>
    </customSheetView>
  </customSheetViews>
  <mergeCells count="2">
    <mergeCell ref="A1:C1"/>
    <mergeCell ref="A14:C14"/>
  </mergeCells>
  <pageMargins left="0.7" right="0.7" top="0.75" bottom="0.75" header="0.3" footer="0.3"/>
  <pageSetup paperSize="9" orientation="portrait" horizontalDpi="4294967292" verticalDpi="4294967292"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52"/>
  <sheetViews>
    <sheetView topLeftCell="A37" workbookViewId="0">
      <selection activeCell="B43" sqref="B43"/>
    </sheetView>
  </sheetViews>
  <sheetFormatPr defaultRowHeight="15" x14ac:dyDescent="0.25"/>
  <cols>
    <col min="1" max="1" width="23.28515625" bestFit="1" customWidth="1"/>
    <col min="2" max="13" width="21.7109375" bestFit="1" customWidth="1"/>
    <col min="14" max="19" width="22.7109375" bestFit="1" customWidth="1"/>
    <col min="20" max="24" width="21.7109375" bestFit="1" customWidth="1"/>
    <col min="25" max="26" width="22.7109375" bestFit="1" customWidth="1"/>
  </cols>
  <sheetData>
    <row r="1" spans="1:26" x14ac:dyDescent="0.25">
      <c r="A1" s="208" t="s">
        <v>160</v>
      </c>
      <c r="B1" s="208"/>
      <c r="C1" s="208"/>
      <c r="D1" s="208"/>
      <c r="E1" s="208"/>
    </row>
    <row r="2" spans="1:26" x14ac:dyDescent="0.25">
      <c r="A2" s="208"/>
      <c r="B2" s="208"/>
      <c r="C2" s="208"/>
      <c r="D2" s="208"/>
      <c r="E2" s="208"/>
    </row>
    <row r="3" spans="1:26" x14ac:dyDescent="0.25">
      <c r="A3" t="s">
        <v>161</v>
      </c>
      <c r="B3">
        <v>2006</v>
      </c>
      <c r="C3">
        <v>2007</v>
      </c>
      <c r="D3">
        <v>2008</v>
      </c>
      <c r="E3">
        <v>2009</v>
      </c>
      <c r="F3">
        <v>2010</v>
      </c>
      <c r="G3">
        <v>2011</v>
      </c>
      <c r="H3">
        <v>2012</v>
      </c>
      <c r="I3">
        <v>2013</v>
      </c>
      <c r="J3">
        <v>2014</v>
      </c>
      <c r="K3">
        <v>2015</v>
      </c>
      <c r="L3">
        <v>2016</v>
      </c>
      <c r="M3">
        <v>2017</v>
      </c>
      <c r="N3">
        <v>2018</v>
      </c>
      <c r="O3">
        <v>2019</v>
      </c>
      <c r="P3">
        <v>2020</v>
      </c>
      <c r="Q3">
        <v>2021</v>
      </c>
      <c r="R3">
        <v>2022</v>
      </c>
      <c r="S3">
        <v>2023</v>
      </c>
      <c r="T3">
        <v>2024</v>
      </c>
      <c r="U3">
        <v>2025</v>
      </c>
      <c r="V3">
        <v>2026</v>
      </c>
      <c r="W3">
        <v>2027</v>
      </c>
      <c r="X3">
        <v>2028</v>
      </c>
      <c r="Y3">
        <v>2029</v>
      </c>
      <c r="Z3">
        <v>2030</v>
      </c>
    </row>
    <row r="4" spans="1:26" x14ac:dyDescent="0.25">
      <c r="A4" t="s">
        <v>1</v>
      </c>
      <c r="B4" s="50">
        <f>VLOOKUP($A4,VoP_Records,'VoP Calculations'!B$3-2004,FALSE)</f>
        <v>21914840000</v>
      </c>
      <c r="C4" s="50">
        <f>VLOOKUP($A4,VoP_Records,'VoP Calculations'!C$3-2004,FALSE)</f>
        <v>27997630000</v>
      </c>
      <c r="D4" s="50">
        <f>VLOOKUP($A4,VoP_Records,'VoP Calculations'!D$3-2004,FALSE)</f>
        <v>34654620000</v>
      </c>
      <c r="E4" s="50">
        <f>VLOOKUP($A4,VoP_Records,'VoP Calculations'!E$3-2004,FALSE)</f>
        <v>29716470000</v>
      </c>
      <c r="F4" s="50">
        <f>VLOOKUP($A4,VoP_Records,'VoP Calculations'!F$3-2004,FALSE)</f>
        <v>31683240000</v>
      </c>
      <c r="G4" s="50">
        <f>VLOOKUP($A4,VoP_Records,'VoP Calculations'!G$3-2004,FALSE)</f>
        <v>41370890000</v>
      </c>
      <c r="H4" s="50">
        <f>VLOOKUP($A4,VoP_Records,'VoP Calculations'!H$3-2004,FALSE)</f>
        <v>42626950000</v>
      </c>
      <c r="I4" s="50">
        <f>VLOOKUP($A4,VoP_Records,'VoP Calculations'!I$3-2004,FALSE)</f>
        <v>41027430000</v>
      </c>
      <c r="J4" s="50">
        <f>I4+(I4*'VoP Records'!$C106)</f>
        <v>45350701606.278534</v>
      </c>
      <c r="K4" s="50">
        <f>J4+(J4*'VoP Records'!$C106)</f>
        <v>50129538608.236351</v>
      </c>
      <c r="L4" s="50">
        <f>K4+(K4*'VoP Records'!$C106)</f>
        <v>55411946277.954681</v>
      </c>
      <c r="M4" s="50">
        <f>L4+(L4*'VoP Records'!$C106)</f>
        <v>61250988450.279709</v>
      </c>
      <c r="N4" s="50">
        <f>M4+(M4*'VoP Records'!$C106)</f>
        <v>67705320569.634705</v>
      </c>
      <c r="O4" s="50">
        <f>N4+(N4*'VoP Records'!$C106)</f>
        <v>74839778906.720108</v>
      </c>
      <c r="P4" s="50">
        <f>O4+(O4*'VoP Records'!$C106)</f>
        <v>82726031864.012009</v>
      </c>
      <c r="Q4" s="50">
        <f>P4+(P4*'VoP Records'!$C106)</f>
        <v>91443299912.675461</v>
      </c>
      <c r="R4" s="50">
        <f>Q4+(Q4*'VoP Records'!$C106)</f>
        <v>101079151392.93835</v>
      </c>
      <c r="S4" s="50">
        <f>R4+(R4*'VoP Records'!$C106)</f>
        <v>111730382172.0493</v>
      </c>
      <c r="T4" s="50">
        <f>S4+(S4*'VoP Records'!$C106)</f>
        <v>123503987996.32516</v>
      </c>
      <c r="U4" s="50">
        <f>T4+(T4*'VoP Records'!$C106)</f>
        <v>136518239304.9418</v>
      </c>
      <c r="V4" s="50">
        <f>U4+(U4*'VoP Records'!$C106)</f>
        <v>150903869302.38968</v>
      </c>
      <c r="W4" s="50">
        <f>V4+(V4*'VoP Records'!$C106)</f>
        <v>166805387224.24313</v>
      </c>
      <c r="X4" s="50">
        <f>W4+(W4*'VoP Records'!$C106)</f>
        <v>184382529988.5076</v>
      </c>
      <c r="Y4" s="50">
        <f>X4+(X4*'VoP Records'!$C106)</f>
        <v>203811866814.9458</v>
      </c>
      <c r="Z4" s="50">
        <f>Y4+(Y4*'VoP Records'!$C106)</f>
        <v>225288572931.40686</v>
      </c>
    </row>
    <row r="5" spans="1:26" x14ac:dyDescent="0.25">
      <c r="A5" t="s">
        <v>2</v>
      </c>
      <c r="B5" s="50">
        <f>VLOOKUP($A5,VoP_Records,'VoP Calculations'!B$3-2004,FALSE)</f>
        <v>77145440000</v>
      </c>
      <c r="C5" s="50">
        <f>VLOOKUP($A5,VoP_Records,'VoP Calculations'!C$3-2004,FALSE)</f>
        <v>108990300000</v>
      </c>
      <c r="D5" s="50">
        <f>VLOOKUP($A5,VoP_Records,'VoP Calculations'!D$3-2004,FALSE)</f>
        <v>145739930000</v>
      </c>
      <c r="E5" s="50">
        <f>VLOOKUP($A5,VoP_Records,'VoP Calculations'!E$3-2004,FALSE)</f>
        <v>133491769999.99998</v>
      </c>
      <c r="F5" s="50">
        <f>VLOOKUP($A5,VoP_Records,'VoP Calculations'!F$3-2004,FALSE)</f>
        <v>162547330000</v>
      </c>
      <c r="G5" s="50">
        <f>VLOOKUP($A5,VoP_Records,'VoP Calculations'!G$3-2004,FALSE)</f>
        <v>209215220000</v>
      </c>
      <c r="H5" s="50">
        <f>VLOOKUP($A5,VoP_Records,'VoP Calculations'!H$3-2004,FALSE)</f>
        <v>202260950000</v>
      </c>
      <c r="I5" s="50">
        <f>VLOOKUP($A5,VoP_Records,'VoP Calculations'!I$3-2004,FALSE)</f>
        <v>219401560000</v>
      </c>
      <c r="J5" s="50">
        <f>I5+(I5*'VoP Records'!$C107)</f>
        <v>257709009044.79129</v>
      </c>
      <c r="K5" s="50">
        <f>J5+(J5*'VoP Records'!$C107)</f>
        <v>302704927635.19238</v>
      </c>
      <c r="L5" s="50">
        <f>K5+(K5*'VoP Records'!$C107)</f>
        <v>355557120623.21106</v>
      </c>
      <c r="M5" s="50">
        <f>L5+(L5*'VoP Records'!$C107)</f>
        <v>417637291250.92383</v>
      </c>
      <c r="N5" s="50">
        <f>M5+(M5*'VoP Records'!$C107)</f>
        <v>490556641750.52563</v>
      </c>
      <c r="O5" s="50">
        <f>N5+(N5*'VoP Records'!$C107)</f>
        <v>576207689798.87219</v>
      </c>
      <c r="P5" s="50">
        <f>O5+(O5*'VoP Records'!$C107)</f>
        <v>676813386112.91479</v>
      </c>
      <c r="Q5" s="50">
        <f>P5+(P5*'VoP Records'!$C107)</f>
        <v>794984807963.12012</v>
      </c>
      <c r="R5" s="50">
        <f>Q5+(Q5*'VoP Records'!$C107)</f>
        <v>933788925957.67957</v>
      </c>
      <c r="S5" s="50">
        <f>R5+(R5*'VoP Records'!$C107)</f>
        <v>1096828202887.6804</v>
      </c>
      <c r="T5" s="50">
        <f>S5+(S5*'VoP Records'!$C107)</f>
        <v>1288334090507.6672</v>
      </c>
      <c r="U5" s="50">
        <f>T5+(T5*'VoP Records'!$C107)</f>
        <v>1513276850827.1016</v>
      </c>
      <c r="V5" s="50">
        <f>U5+(U5*'VoP Records'!$C107)</f>
        <v>1777494552167.6089</v>
      </c>
      <c r="W5" s="50">
        <f>V5+(V5*'VoP Records'!$C107)</f>
        <v>2087844587894.5872</v>
      </c>
      <c r="X5" s="50">
        <f>W5+(W5*'VoP Records'!$C107)</f>
        <v>2452381650275.6167</v>
      </c>
      <c r="Y5" s="50">
        <f>X5+(X5*'VoP Records'!$C107)</f>
        <v>2880566778523.1748</v>
      </c>
      <c r="Z5" s="50">
        <f>Y5+(Y5*'VoP Records'!$C107)</f>
        <v>3383512906565.2686</v>
      </c>
    </row>
    <row r="6" spans="1:26" x14ac:dyDescent="0.25">
      <c r="A6" t="s">
        <v>3</v>
      </c>
      <c r="B6" s="50">
        <f>VLOOKUP($A6,VoP_Records,'VoP Calculations'!B$3-2004,FALSE)</f>
        <v>17114860000</v>
      </c>
      <c r="C6" s="50">
        <f>VLOOKUP($A6,VoP_Records,'VoP Calculations'!C$3-2004,FALSE)</f>
        <v>21891480000</v>
      </c>
      <c r="D6" s="50">
        <f>VLOOKUP($A6,VoP_Records,'VoP Calculations'!D$3-2004,FALSE)</f>
        <v>31979370000</v>
      </c>
      <c r="E6" s="50">
        <f>VLOOKUP($A6,VoP_Records,'VoP Calculations'!E$3-2004,FALSE)</f>
        <v>25783060000</v>
      </c>
      <c r="F6" s="50">
        <f>VLOOKUP($A6,VoP_Records,'VoP Calculations'!F$3-2004,FALSE)</f>
        <v>26167520000</v>
      </c>
      <c r="G6" s="50">
        <f>VLOOKUP($A6,VoP_Records,'VoP Calculations'!G$3-2004,FALSE)</f>
        <v>32556450000</v>
      </c>
      <c r="H6" s="50">
        <f>VLOOKUP($A6,VoP_Records,'VoP Calculations'!H$3-2004,FALSE)</f>
        <v>37272460000</v>
      </c>
      <c r="I6" s="50">
        <f>VLOOKUP($A6,VoP_Records,'VoP Calculations'!I$3-2004,FALSE)</f>
        <v>41112280000</v>
      </c>
      <c r="J6" s="50">
        <f>I6+(I6*'VoP Records'!$C108)</f>
        <v>47297263641.853813</v>
      </c>
      <c r="K6" s="50">
        <f>J6+(J6*'VoP Records'!$C108)</f>
        <v>54412724081.637566</v>
      </c>
      <c r="L6" s="50">
        <f>K6+(K6*'VoP Records'!$C108)</f>
        <v>62598643431.127144</v>
      </c>
      <c r="M6" s="50">
        <f>L6+(L6*'VoP Records'!$C108)</f>
        <v>72016062888.859985</v>
      </c>
      <c r="N6" s="50">
        <f>M6+(M6*'VoP Records'!$C108)</f>
        <v>82850250895.905914</v>
      </c>
      <c r="O6" s="50">
        <f>N6+(N6*'VoP Records'!$C108)</f>
        <v>95314347913.017639</v>
      </c>
      <c r="P6" s="50">
        <f>O6+(O6*'VoP Records'!$C108)</f>
        <v>109653559522.687</v>
      </c>
      <c r="Q6" s="50">
        <f>P6+(P6*'VoP Records'!$C108)</f>
        <v>126149980346.80238</v>
      </c>
      <c r="R6" s="50">
        <f>Q6+(Q6*'VoP Records'!$C108)</f>
        <v>145128143680.60806</v>
      </c>
      <c r="S6" s="50">
        <f>R6+(R6*'VoP Records'!$C108)</f>
        <v>166961406020.64783</v>
      </c>
      <c r="T6" s="50">
        <f>S6+(S6*'VoP Records'!$C108)</f>
        <v>192079292089.20496</v>
      </c>
      <c r="U6" s="50">
        <f>T6+(T6*'VoP Records'!$C108)</f>
        <v>220975944853.55157</v>
      </c>
      <c r="V6" s="50">
        <f>U6+(U6*'VoP Records'!$C108)</f>
        <v>254219846776.83112</v>
      </c>
      <c r="W6" s="50">
        <f>V6+(V6*'VoP Records'!$C108)</f>
        <v>292465003546.27527</v>
      </c>
      <c r="X6" s="50">
        <f>W6+(W6*'VoP Records'!$C108)</f>
        <v>336463810295.70459</v>
      </c>
      <c r="Y6" s="50">
        <f>X6+(X6*'VoP Records'!$C108)</f>
        <v>387081853438.89044</v>
      </c>
      <c r="Z6" s="50">
        <f>Y6+(Y6*'VoP Records'!$C108)</f>
        <v>445314939309.53522</v>
      </c>
    </row>
    <row r="7" spans="1:26" x14ac:dyDescent="0.25">
      <c r="A7" t="s">
        <v>4</v>
      </c>
      <c r="B7" s="50">
        <f>VLOOKUP($A7,VoP_Records,'VoP Calculations'!B$3-2004,FALSE)</f>
        <v>513138880000</v>
      </c>
      <c r="C7" s="50">
        <f>VLOOKUP($A7,VoP_Records,'VoP Calculations'!C$3-2004,FALSE)</f>
        <v>614438940000</v>
      </c>
      <c r="D7" s="50">
        <f>VLOOKUP($A7,VoP_Records,'VoP Calculations'!D$3-2004,FALSE)</f>
        <v>768741090000</v>
      </c>
      <c r="E7" s="50">
        <f>VLOOKUP($A7,VoP_Records,'VoP Calculations'!E$3-2004,FALSE)</f>
        <v>774921030000</v>
      </c>
      <c r="F7" s="50">
        <f>VLOOKUP($A7,VoP_Records,'VoP Calculations'!F$3-2004,FALSE)</f>
        <v>887215420000</v>
      </c>
      <c r="G7" s="50">
        <f>VLOOKUP($A7,VoP_Records,'VoP Calculations'!G$3-2004,FALSE)</f>
        <v>1152662210000</v>
      </c>
      <c r="H7" s="50">
        <f>VLOOKUP($A7,VoP_Records,'VoP Calculations'!H$3-2004,FALSE)</f>
        <v>1229716840000</v>
      </c>
      <c r="I7" s="50">
        <f>VLOOKUP($A7,VoP_Records,'VoP Calculations'!I$3-2004,FALSE)</f>
        <v>1284599430000</v>
      </c>
      <c r="J7" s="50">
        <f>I7+(I7*'VoP Records'!$C109)</f>
        <v>1470345113546.8091</v>
      </c>
      <c r="K7" s="50">
        <f>J7+(J7*'VoP Records'!$C109)</f>
        <v>1682948553800.1357</v>
      </c>
      <c r="L7" s="50">
        <f>K7+(K7*'VoP Records'!$C109)</f>
        <v>1926293227789.0693</v>
      </c>
      <c r="M7" s="50">
        <f>L7+(L7*'VoP Records'!$C109)</f>
        <v>2204824140968.1836</v>
      </c>
      <c r="N7" s="50">
        <f>M7+(M7*'VoP Records'!$C109)</f>
        <v>2523629020995.7588</v>
      </c>
      <c r="O7" s="50">
        <f>N7+(N7*'VoP Records'!$C109)</f>
        <v>2888531251664.9893</v>
      </c>
      <c r="P7" s="50">
        <f>O7+(O7*'VoP Records'!$C109)</f>
        <v>3306196244546.7261</v>
      </c>
      <c r="Q7" s="50">
        <f>P7+(P7*'VoP Records'!$C109)</f>
        <v>3784253191359.4961</v>
      </c>
      <c r="R7" s="50">
        <f>Q7+(Q7*'VoP Records'!$C109)</f>
        <v>4331434421031.4282</v>
      </c>
      <c r="S7" s="50">
        <f>R7+(R7*'VoP Records'!$C109)</f>
        <v>4957734906991.2109</v>
      </c>
      <c r="T7" s="50">
        <f>S7+(S7*'VoP Records'!$C109)</f>
        <v>5674594838295.2119</v>
      </c>
      <c r="U7" s="50">
        <f>T7+(T7*'VoP Records'!$C109)</f>
        <v>6495108589488.7168</v>
      </c>
      <c r="V7" s="50">
        <f>U7+(U7*'VoP Records'!$C109)</f>
        <v>7434263906306.2969</v>
      </c>
      <c r="W7" s="50">
        <f>V7+(V7*'VoP Records'!$C109)</f>
        <v>8509215676247.7129</v>
      </c>
      <c r="X7" s="50">
        <f>W7+(W7*'VoP Records'!$C109)</f>
        <v>9739599284803.3027</v>
      </c>
      <c r="Y7" s="50">
        <f>X7+(X7*'VoP Records'!$C109)</f>
        <v>11147889281185.912</v>
      </c>
      <c r="Z7" s="50">
        <f>Y7+(Y7*'VoP Records'!$C109)</f>
        <v>12759809905063.211</v>
      </c>
    </row>
    <row r="8" spans="1:26" x14ac:dyDescent="0.25">
      <c r="A8" t="s">
        <v>5</v>
      </c>
      <c r="B8" s="50">
        <f>VLOOKUP($A8,VoP_Records,'VoP Calculations'!B$3-2004,FALSE)</f>
        <v>307584630000</v>
      </c>
      <c r="C8" s="50">
        <f>VLOOKUP($A8,VoP_Records,'VoP Calculations'!C$3-2004,FALSE)</f>
        <v>370185060000</v>
      </c>
      <c r="D8" s="50">
        <f>VLOOKUP($A8,VoP_Records,'VoP Calculations'!D$3-2004,FALSE)</f>
        <v>419390290000</v>
      </c>
      <c r="E8" s="50">
        <f>VLOOKUP($A8,VoP_Records,'VoP Calculations'!E$3-2004,FALSE)</f>
        <v>338960910000</v>
      </c>
      <c r="F8" s="50">
        <f>VLOOKUP($A8,VoP_Records,'VoP Calculations'!F$3-2004,FALSE)</f>
        <v>354471320000</v>
      </c>
      <c r="G8" s="50">
        <f>VLOOKUP($A8,VoP_Records,'VoP Calculations'!G$3-2004,FALSE)</f>
        <v>413246520000</v>
      </c>
      <c r="H8" s="50">
        <f>VLOOKUP($A8,VoP_Records,'VoP Calculations'!H$3-2004,FALSE)</f>
        <v>387688440000</v>
      </c>
      <c r="I8" s="50">
        <f>VLOOKUP($A8,VoP_Records,'VoP Calculations'!I$3-2004,FALSE)</f>
        <v>413444430000</v>
      </c>
      <c r="J8" s="50">
        <f>I8+(I8*'VoP Records'!$C110)</f>
        <v>434755931445.86334</v>
      </c>
      <c r="K8" s="50">
        <f>J8+(J8*'VoP Records'!$C110)</f>
        <v>457165960434.78015</v>
      </c>
      <c r="L8" s="50">
        <f>K8+(K8*'VoP Records'!$C110)</f>
        <v>480731141919.52118</v>
      </c>
      <c r="M8" s="50">
        <f>L8+(L8*'VoP Records'!$C110)</f>
        <v>505511019655.66437</v>
      </c>
      <c r="N8" s="50">
        <f>M8+(M8*'VoP Records'!$C110)</f>
        <v>531568206654.87378</v>
      </c>
      <c r="O8" s="50">
        <f>N8+(N8*'VoP Records'!$C110)</f>
        <v>558968543393.47803</v>
      </c>
      <c r="P8" s="50">
        <f>O8+(O8*'VoP Records'!$C110)</f>
        <v>587781264176.10461</v>
      </c>
      <c r="Q8" s="50">
        <f>P8+(P8*'VoP Records'!$C110)</f>
        <v>618079172074.73181</v>
      </c>
      <c r="R8" s="50">
        <f>Q8+(Q8*'VoP Records'!$C110)</f>
        <v>649938822885.18933</v>
      </c>
      <c r="S8" s="50">
        <f>R8+(R8*'VoP Records'!$C110)</f>
        <v>683440718565.9231</v>
      </c>
      <c r="T8" s="50">
        <f>S8+(S8*'VoP Records'!$C110)</f>
        <v>718669510647.79858</v>
      </c>
      <c r="U8" s="50">
        <f>T8+(T8*'VoP Records'!$C110)</f>
        <v>755714214128.91321</v>
      </c>
      <c r="V8" s="50">
        <f>U8+(U8*'VoP Records'!$C110)</f>
        <v>794668432394.87891</v>
      </c>
      <c r="W8" s="50">
        <f>V8+(V8*'VoP Records'!$C110)</f>
        <v>835630593732.89819</v>
      </c>
      <c r="X8" s="50">
        <f>W8+(W8*'VoP Records'!$C110)</f>
        <v>878704200037.24792</v>
      </c>
      <c r="Y8" s="50">
        <f>X8+(X8*'VoP Records'!$C110)</f>
        <v>923998088334.59412</v>
      </c>
      <c r="Z8" s="50">
        <f>Y8+(Y8*'VoP Records'!$C110)</f>
        <v>971626705789.94995</v>
      </c>
    </row>
    <row r="9" spans="1:26" x14ac:dyDescent="0.25">
      <c r="A9" t="s">
        <v>6</v>
      </c>
      <c r="B9" s="50">
        <f>VLOOKUP($A9,VoP_Records,'VoP Calculations'!B$3-2004,FALSE)</f>
        <v>155558510000</v>
      </c>
      <c r="C9" s="50">
        <f>VLOOKUP($A9,VoP_Records,'VoP Calculations'!C$3-2004,FALSE)</f>
        <v>199631800000</v>
      </c>
      <c r="D9" s="50">
        <f>VLOOKUP($A9,VoP_Records,'VoP Calculations'!D$3-2004,FALSE)</f>
        <v>215061710000</v>
      </c>
      <c r="E9" s="50">
        <f>VLOOKUP($A9,VoP_Records,'VoP Calculations'!E$3-2004,FALSE)</f>
        <v>206898020000</v>
      </c>
      <c r="F9" s="50">
        <f>VLOOKUP($A9,VoP_Records,'VoP Calculations'!F$3-2004,FALSE)</f>
        <v>230630890000</v>
      </c>
      <c r="G9" s="50">
        <f>VLOOKUP($A9,VoP_Records,'VoP Calculations'!G$3-2004,FALSE)</f>
        <v>247363500000</v>
      </c>
      <c r="H9" s="50">
        <f>VLOOKUP($A9,VoP_Records,'VoP Calculations'!H$3-2004,FALSE)</f>
        <v>238672350000</v>
      </c>
      <c r="I9" s="50">
        <f>VLOOKUP($A9,VoP_Records,'VoP Calculations'!I$3-2004,FALSE)</f>
        <v>256781770000</v>
      </c>
      <c r="J9" s="50">
        <f>I9+(I9*'VoP Records'!$C111)</f>
        <v>276981509534.68805</v>
      </c>
      <c r="K9" s="50">
        <f>J9+(J9*'VoP Records'!$C111)</f>
        <v>298770261705.55054</v>
      </c>
      <c r="L9" s="50">
        <f>K9+(K9*'VoP Records'!$C111)</f>
        <v>322273026201.49866</v>
      </c>
      <c r="M9" s="50">
        <f>L9+(L9*'VoP Records'!$C111)</f>
        <v>347624635812.74939</v>
      </c>
      <c r="N9" s="50">
        <f>M9+(M9*'VoP Records'!$C111)</f>
        <v>374970529951.80115</v>
      </c>
      <c r="O9" s="50">
        <f>N9+(N9*'VoP Records'!$C111)</f>
        <v>404467589023.44135</v>
      </c>
      <c r="P9" s="50">
        <f>O9+(O9*'VoP Records'!$C111)</f>
        <v>436285034430.4762</v>
      </c>
      <c r="Q9" s="50">
        <f>P9+(P9*'VoP Records'!$C111)</f>
        <v>470605399378.41638</v>
      </c>
      <c r="R9" s="50">
        <f>Q9+(Q9*'VoP Records'!$C111)</f>
        <v>507625576048.51978</v>
      </c>
      <c r="S9" s="50">
        <f>R9+(R9*'VoP Records'!$C111)</f>
        <v>547557945146.70807</v>
      </c>
      <c r="T9" s="50">
        <f>S9+(S9*'VoP Records'!$C111)</f>
        <v>590631594308.45544</v>
      </c>
      <c r="U9" s="50">
        <f>T9+(T9*'VoP Records'!$C111)</f>
        <v>637093632349.50623</v>
      </c>
      <c r="V9" s="50">
        <f>U9+(U9*'VoP Records'!$C111)</f>
        <v>687210606902.13257</v>
      </c>
      <c r="W9" s="50">
        <f>V9+(V9*'VoP Records'!$C111)</f>
        <v>741270033569.75769</v>
      </c>
      <c r="X9" s="50">
        <f>W9+(W9*'VoP Records'!$C111)</f>
        <v>799582045372.53711</v>
      </c>
      <c r="Y9" s="50">
        <f>X9+(X9*'VoP Records'!$C111)</f>
        <v>862481171946.5863</v>
      </c>
      <c r="Z9" s="50">
        <f>Y9+(Y9*'VoP Records'!$C111)</f>
        <v>930328258703.92725</v>
      </c>
    </row>
    <row r="10" spans="1:26" x14ac:dyDescent="0.25">
      <c r="A10" t="s">
        <v>7</v>
      </c>
      <c r="B10" s="50">
        <f>VLOOKUP($A10,VoP_Records,'VoP Calculations'!B$3-2004,FALSE)</f>
        <v>46082250000</v>
      </c>
      <c r="C10" s="50">
        <f>VLOOKUP($A10,VoP_Records,'VoP Calculations'!C$3-2004,FALSE)</f>
        <v>54927390000</v>
      </c>
      <c r="D10" s="50">
        <f>VLOOKUP($A10,VoP_Records,'VoP Calculations'!D$3-2004,FALSE)</f>
        <v>67406509999.999992</v>
      </c>
      <c r="E10" s="50">
        <f>VLOOKUP($A10,VoP_Records,'VoP Calculations'!E$3-2004,FALSE)</f>
        <v>67798850000.000008</v>
      </c>
      <c r="F10" s="50">
        <f>VLOOKUP($A10,VoP_Records,'VoP Calculations'!F$3-2004,FALSE)</f>
        <v>92455690000</v>
      </c>
      <c r="G10" s="50">
        <f>VLOOKUP($A10,VoP_Records,'VoP Calculations'!G$3-2004,FALSE)</f>
        <v>141115870000</v>
      </c>
      <c r="H10" s="50">
        <f>VLOOKUP($A10,VoP_Records,'VoP Calculations'!H$3-2004,FALSE)</f>
        <v>144297800000</v>
      </c>
      <c r="I10" s="50">
        <f>VLOOKUP($A10,VoP_Records,'VoP Calculations'!I$3-2004,FALSE)</f>
        <v>126046840000</v>
      </c>
      <c r="J10" s="50">
        <f>I10+(I10*'VoP Records'!$C112)</f>
        <v>147853080474.20804</v>
      </c>
      <c r="K10" s="50">
        <f>J10+(J10*'VoP Records'!$C112)</f>
        <v>173431824278.28131</v>
      </c>
      <c r="L10" s="50">
        <f>K10+(K10*'VoP Records'!$C112)</f>
        <v>203435718593.22641</v>
      </c>
      <c r="M10" s="50">
        <f>L10+(L10*'VoP Records'!$C112)</f>
        <v>238630319272.52316</v>
      </c>
      <c r="N10" s="50">
        <f>M10+(M10*'VoP Records'!$C112)</f>
        <v>279913624165.3208</v>
      </c>
      <c r="O10" s="50">
        <f>N10+(N10*'VoP Records'!$C112)</f>
        <v>328338985725.80164</v>
      </c>
      <c r="P10" s="50">
        <f>O10+(O10*'VoP Records'!$C112)</f>
        <v>385141987528.89636</v>
      </c>
      <c r="Q10" s="50">
        <f>P10+(P10*'VoP Records'!$C112)</f>
        <v>451771970452.46307</v>
      </c>
      <c r="R10" s="50">
        <f>Q10+(Q10*'VoP Records'!$C112)</f>
        <v>529929012923.28754</v>
      </c>
      <c r="S10" s="50">
        <f>R10+(R10*'VoP Records'!$C112)</f>
        <v>621607308785.88037</v>
      </c>
      <c r="T10" s="50">
        <f>S10+(S10*'VoP Records'!$C112)</f>
        <v>729146049589.77673</v>
      </c>
      <c r="U10" s="50">
        <f>T10+(T10*'VoP Records'!$C112)</f>
        <v>855289109567.90466</v>
      </c>
      <c r="V10" s="50">
        <f>U10+(U10*'VoP Records'!$C112)</f>
        <v>1003255056181.1558</v>
      </c>
      <c r="W10" s="50">
        <f>V10+(V10*'VoP Records'!$C112)</f>
        <v>1176819272563.3464</v>
      </c>
      <c r="X10" s="50">
        <f>W10+(W10*'VoP Records'!$C112)</f>
        <v>1380410287238.5173</v>
      </c>
      <c r="Y10" s="50">
        <f>X10+(X10*'VoP Records'!$C112)</f>
        <v>1619222768984.1421</v>
      </c>
      <c r="Z10" s="50">
        <f>Y10+(Y10*'VoP Records'!$C112)</f>
        <v>1899350069928.626</v>
      </c>
    </row>
    <row r="11" spans="1:26" x14ac:dyDescent="0.25">
      <c r="A11" t="s">
        <v>8</v>
      </c>
      <c r="B11" s="50">
        <f>VLOOKUP($A11,VoP_Records,'VoP Calculations'!B$3-2004,FALSE)</f>
        <v>60864140000</v>
      </c>
      <c r="C11" s="50">
        <f>VLOOKUP($A11,VoP_Records,'VoP Calculations'!C$3-2004,FALSE)</f>
        <v>58420380000</v>
      </c>
      <c r="D11" s="50">
        <f>VLOOKUP($A11,VoP_Records,'VoP Calculations'!D$3-2004,FALSE)</f>
        <v>66905580000</v>
      </c>
      <c r="E11" s="50">
        <f>VLOOKUP($A11,VoP_Records,'VoP Calculations'!E$3-2004,FALSE)</f>
        <v>71731720000</v>
      </c>
      <c r="F11" s="50">
        <f>VLOOKUP($A11,VoP_Records,'VoP Calculations'!F$3-2004,FALSE)</f>
        <v>77693690000</v>
      </c>
      <c r="G11" s="50">
        <f>VLOOKUP($A11,VoP_Records,'VoP Calculations'!G$3-2004,FALSE)</f>
        <v>81940130000</v>
      </c>
      <c r="H11" s="50">
        <f>VLOOKUP($A11,VoP_Records,'VoP Calculations'!H$3-2004,FALSE)</f>
        <v>86940080000</v>
      </c>
      <c r="I11" s="50">
        <f>VLOOKUP($A11,VoP_Records,'VoP Calculations'!I$3-2004,FALSE)</f>
        <v>71147430000</v>
      </c>
      <c r="J11" s="50">
        <f>I11+(I11*'VoP Records'!$C113)</f>
        <v>73122961431.975677</v>
      </c>
      <c r="K11" s="50">
        <f>J11+(J11*'VoP Records'!$C113)</f>
        <v>75153346910.523712</v>
      </c>
      <c r="L11" s="50">
        <f>K11+(K11*'VoP Records'!$C113)</f>
        <v>77240109553.108444</v>
      </c>
      <c r="M11" s="50">
        <f>L11+(L11*'VoP Records'!$C113)</f>
        <v>79384814769.18457</v>
      </c>
      <c r="N11" s="50">
        <f>M11+(M11*'VoP Records'!$C113)</f>
        <v>81589071434.507431</v>
      </c>
      <c r="O11" s="50">
        <f>N11+(N11*'VoP Records'!$C113)</f>
        <v>83854533098.050003</v>
      </c>
      <c r="P11" s="50">
        <f>O11+(O11*'VoP Records'!$C113)</f>
        <v>86182899222.432053</v>
      </c>
      <c r="Q11" s="50">
        <f>P11+(P11*'VoP Records'!$C113)</f>
        <v>88575916458.791916</v>
      </c>
      <c r="R11" s="50">
        <f>Q11+(Q11*'VoP Records'!$C113)</f>
        <v>91035379957.057358</v>
      </c>
      <c r="S11" s="50">
        <f>R11+(R11*'VoP Records'!$C113)</f>
        <v>93563134712.598297</v>
      </c>
      <c r="T11" s="50">
        <f>S11+(S11*'VoP Records'!$C113)</f>
        <v>96161076950.271713</v>
      </c>
      <c r="U11" s="50">
        <f>T11+(T11*'VoP Records'!$C113)</f>
        <v>98831155546.896973</v>
      </c>
      <c r="V11" s="50">
        <f>U11+(U11*'VoP Records'!$C113)</f>
        <v>101575373493.22859</v>
      </c>
      <c r="W11" s="50">
        <f>V11+(V11*'VoP Records'!$C113)</f>
        <v>104395789396.52324</v>
      </c>
      <c r="X11" s="50">
        <f>W11+(W11*'VoP Records'!$C113)</f>
        <v>107294519024.82808</v>
      </c>
      <c r="Y11" s="50">
        <f>X11+(X11*'VoP Records'!$C113)</f>
        <v>110273736894.14902</v>
      </c>
      <c r="Z11" s="50">
        <f>Y11+(Y11*'VoP Records'!$C113)</f>
        <v>113335677899.68932</v>
      </c>
    </row>
    <row r="12" spans="1:26" x14ac:dyDescent="0.25">
      <c r="A12" t="s">
        <v>10</v>
      </c>
      <c r="B12" s="50">
        <f>VLOOKUP($A12,VoP_Records,'VoP Calculations'!B$3-2004,FALSE)</f>
        <v>181753540000</v>
      </c>
      <c r="C12" s="50">
        <f>VLOOKUP($A12,VoP_Records,'VoP Calculations'!C$3-2004,FALSE)</f>
        <v>244073580000</v>
      </c>
      <c r="D12" s="50">
        <f>VLOOKUP($A12,VoP_Records,'VoP Calculations'!D$3-2004,FALSE)</f>
        <v>249290630000</v>
      </c>
      <c r="E12" s="50">
        <f>VLOOKUP($A12,VoP_Records,'VoP Calculations'!E$3-2004,FALSE)</f>
        <v>227040750000</v>
      </c>
      <c r="F12" s="50">
        <f>VLOOKUP($A12,VoP_Records,'VoP Calculations'!F$3-2004,FALSE)</f>
        <v>275968550000</v>
      </c>
      <c r="G12" s="50">
        <f>VLOOKUP($A12,VoP_Records,'VoP Calculations'!G$3-2004,FALSE)</f>
        <v>304088930000</v>
      </c>
      <c r="H12" s="50">
        <f>VLOOKUP($A12,VoP_Records,'VoP Calculations'!H$3-2004,FALSE)</f>
        <v>315680080000</v>
      </c>
      <c r="I12" s="50">
        <f>VLOOKUP($A12,VoP_Records,'VoP Calculations'!I$3-2004,FALSE)</f>
        <v>311084290000</v>
      </c>
      <c r="J12" s="50">
        <f>I12+(I12*'VoP Records'!$C114)</f>
        <v>338458056182.22272</v>
      </c>
      <c r="K12" s="50">
        <f>J12+(J12*'VoP Records'!$C114)</f>
        <v>368240568479.52246</v>
      </c>
      <c r="L12" s="50">
        <f>K12+(K12*'VoP Records'!$C114)</f>
        <v>400643783763.60901</v>
      </c>
      <c r="M12" s="50">
        <f>L12+(L12*'VoP Records'!$C114)</f>
        <v>435898309985.76581</v>
      </c>
      <c r="N12" s="50">
        <f>M12+(M12*'VoP Records'!$C114)</f>
        <v>474255047372.84631</v>
      </c>
      <c r="O12" s="50">
        <f>N12+(N12*'VoP Records'!$C114)</f>
        <v>515986974039.80609</v>
      </c>
      <c r="P12" s="50">
        <f>O12+(O12*'VoP Records'!$C114)</f>
        <v>561391088726.65918</v>
      </c>
      <c r="Q12" s="50">
        <f>P12+(P12*'VoP Records'!$C114)</f>
        <v>610790524485.97388</v>
      </c>
      <c r="R12" s="50">
        <f>Q12+(Q12*'VoP Records'!$C114)</f>
        <v>664536848363.64771</v>
      </c>
      <c r="S12" s="50">
        <f>R12+(R12*'VoP Records'!$C114)</f>
        <v>723012563439.38391</v>
      </c>
      <c r="T12" s="50">
        <f>S12+(S12*'VoP Records'!$C114)</f>
        <v>786633831033.44714</v>
      </c>
      <c r="U12" s="50">
        <f>T12+(T12*'VoP Records'!$C114)</f>
        <v>855853432453.16418</v>
      </c>
      <c r="V12" s="50">
        <f>U12+(U12*'VoP Records'!$C114)</f>
        <v>931163991357.39453</v>
      </c>
      <c r="W12" s="50">
        <f>V12+(V12*'VoP Records'!$C114)</f>
        <v>1013101479671.9686</v>
      </c>
      <c r="X12" s="50">
        <f>W12+(W12*'VoP Records'!$C114)</f>
        <v>1102249032007.0747</v>
      </c>
      <c r="Y12" s="50">
        <f>X12+(X12*'VoP Records'!$C114)</f>
        <v>1199241095723.1274</v>
      </c>
      <c r="Z12" s="50">
        <f>Y12+(Y12*'VoP Records'!$C114)</f>
        <v>1304767946180.4021</v>
      </c>
    </row>
    <row r="15" spans="1:26" ht="28.5" x14ac:dyDescent="0.45">
      <c r="A15" s="208" t="s">
        <v>183</v>
      </c>
      <c r="B15" s="208"/>
      <c r="C15" s="208"/>
      <c r="D15" s="53">
        <f>IF(Machine!D10="2006-2013 Average",5%,Machine!D10)</f>
        <v>0.03</v>
      </c>
      <c r="E15" s="52"/>
      <c r="F15" s="52"/>
    </row>
    <row r="16" spans="1:26" x14ac:dyDescent="0.25">
      <c r="A16" t="s">
        <v>161</v>
      </c>
      <c r="B16">
        <v>2006</v>
      </c>
      <c r="C16">
        <v>2007</v>
      </c>
      <c r="D16">
        <v>2008</v>
      </c>
      <c r="E16">
        <v>2009</v>
      </c>
      <c r="F16">
        <v>2010</v>
      </c>
      <c r="G16">
        <v>2011</v>
      </c>
      <c r="H16">
        <v>2012</v>
      </c>
      <c r="I16">
        <v>2013</v>
      </c>
      <c r="J16">
        <v>2014</v>
      </c>
      <c r="K16">
        <v>2015</v>
      </c>
      <c r="L16">
        <v>2016</v>
      </c>
      <c r="M16">
        <v>2017</v>
      </c>
      <c r="N16">
        <v>2018</v>
      </c>
      <c r="O16">
        <v>2019</v>
      </c>
      <c r="P16">
        <v>2020</v>
      </c>
      <c r="Q16">
        <v>2021</v>
      </c>
      <c r="R16">
        <v>2022</v>
      </c>
      <c r="S16">
        <v>2023</v>
      </c>
      <c r="T16">
        <v>2024</v>
      </c>
      <c r="U16">
        <v>2025</v>
      </c>
      <c r="V16">
        <v>2026</v>
      </c>
      <c r="W16">
        <v>2027</v>
      </c>
      <c r="X16">
        <v>2028</v>
      </c>
      <c r="Y16">
        <v>2029</v>
      </c>
      <c r="Z16">
        <v>2030</v>
      </c>
    </row>
    <row r="17" spans="1:26" x14ac:dyDescent="0.25">
      <c r="A17" t="s">
        <v>1</v>
      </c>
      <c r="B17" s="50">
        <f>VLOOKUP($A17,VoP_Records,'VoP Calculations'!B$16-2004,FALSE)</f>
        <v>21914840000</v>
      </c>
      <c r="C17" s="50">
        <f>VLOOKUP($A17,VoP_Records,'VoP Calculations'!C$16-2004,FALSE)</f>
        <v>27997630000</v>
      </c>
      <c r="D17" s="50">
        <f>VLOOKUP($A17,VoP_Records,'VoP Calculations'!D$16-2004,FALSE)</f>
        <v>34654620000</v>
      </c>
      <c r="E17" s="50">
        <f>VLOOKUP($A17,VoP_Records,'VoP Calculations'!E$16-2004,FALSE)</f>
        <v>29716470000</v>
      </c>
      <c r="F17" s="50">
        <f>VLOOKUP($A17,VoP_Records,'VoP Calculations'!F$16-2004,FALSE)</f>
        <v>31683240000</v>
      </c>
      <c r="G17" s="50">
        <f>VLOOKUP($A17,VoP_Records,'VoP Calculations'!G$16-2004,FALSE)</f>
        <v>41370890000</v>
      </c>
      <c r="H17" s="50">
        <f>VLOOKUP($A17,VoP_Records,'VoP Calculations'!H$16-2004,FALSE)</f>
        <v>42626950000</v>
      </c>
      <c r="I17" s="50">
        <f>VLOOKUP($A17,VoP_Records,'VoP Calculations'!I$16-2004,FALSE)</f>
        <v>41027430000</v>
      </c>
      <c r="J17" s="93">
        <f t="shared" ref="J17:Z17" si="0">I17+I17*VLOOKUP($A17,VoP_Growth_Rates,2,FALSE)</f>
        <v>42258252900</v>
      </c>
      <c r="K17" s="94">
        <f t="shared" si="0"/>
        <v>43526000487</v>
      </c>
      <c r="L17" s="94">
        <f t="shared" si="0"/>
        <v>44831780501.610001</v>
      </c>
      <c r="M17" s="94">
        <f t="shared" si="0"/>
        <v>46176733916.658302</v>
      </c>
      <c r="N17" s="94">
        <f t="shared" si="0"/>
        <v>47562035934.158051</v>
      </c>
      <c r="O17" s="94">
        <f t="shared" si="0"/>
        <v>48988897012.182793</v>
      </c>
      <c r="P17" s="94">
        <f t="shared" si="0"/>
        <v>50458563922.548279</v>
      </c>
      <c r="Q17" s="94">
        <f t="shared" si="0"/>
        <v>51972320840.224724</v>
      </c>
      <c r="R17" s="94">
        <f t="shared" si="0"/>
        <v>53531490465.431465</v>
      </c>
      <c r="S17" s="94">
        <f t="shared" si="0"/>
        <v>55137435179.394409</v>
      </c>
      <c r="T17" s="94">
        <f t="shared" si="0"/>
        <v>56791558234.776245</v>
      </c>
      <c r="U17" s="94">
        <f t="shared" si="0"/>
        <v>58495304981.819534</v>
      </c>
      <c r="V17" s="94">
        <f t="shared" si="0"/>
        <v>60250164131.274124</v>
      </c>
      <c r="W17" s="94">
        <f t="shared" si="0"/>
        <v>62057669055.212349</v>
      </c>
      <c r="X17" s="94">
        <f t="shared" si="0"/>
        <v>63919399126.868721</v>
      </c>
      <c r="Y17" s="94">
        <f t="shared" si="0"/>
        <v>65836981100.674782</v>
      </c>
      <c r="Z17" s="94">
        <f t="shared" si="0"/>
        <v>67812090533.695023</v>
      </c>
    </row>
    <row r="18" spans="1:26" x14ac:dyDescent="0.25">
      <c r="A18" t="s">
        <v>2</v>
      </c>
      <c r="B18" s="50">
        <f>VLOOKUP($A18,VoP_Records,'VoP Calculations'!B$16-2004,FALSE)</f>
        <v>77145440000</v>
      </c>
      <c r="C18" s="50">
        <f>VLOOKUP($A18,VoP_Records,'VoP Calculations'!C$16-2004,FALSE)</f>
        <v>108990300000</v>
      </c>
      <c r="D18" s="50">
        <f>VLOOKUP($A18,VoP_Records,'VoP Calculations'!D$16-2004,FALSE)</f>
        <v>145739930000</v>
      </c>
      <c r="E18" s="50">
        <f>VLOOKUP($A18,VoP_Records,'VoP Calculations'!E$16-2004,FALSE)</f>
        <v>133491769999.99998</v>
      </c>
      <c r="F18" s="50">
        <f>VLOOKUP($A18,VoP_Records,'VoP Calculations'!F$16-2004,FALSE)</f>
        <v>162547330000</v>
      </c>
      <c r="G18" s="50">
        <f>VLOOKUP($A18,VoP_Records,'VoP Calculations'!G$16-2004,FALSE)</f>
        <v>209215220000</v>
      </c>
      <c r="H18" s="50">
        <f>VLOOKUP($A18,VoP_Records,'VoP Calculations'!H$16-2004,FALSE)</f>
        <v>202260950000</v>
      </c>
      <c r="I18" s="50">
        <f>VLOOKUP($A18,VoP_Records,'VoP Calculations'!I$16-2004,FALSE)</f>
        <v>219401560000</v>
      </c>
      <c r="J18" s="93">
        <f t="shared" ref="J18:Z18" si="1">I18+I18*VLOOKUP($A18,VoP_Growth_Rates,2,FALSE)</f>
        <v>225983606800</v>
      </c>
      <c r="K18" s="94">
        <f t="shared" si="1"/>
        <v>232763115004</v>
      </c>
      <c r="L18" s="94">
        <f t="shared" si="1"/>
        <v>239746008454.12</v>
      </c>
      <c r="M18" s="94">
        <f t="shared" si="1"/>
        <v>246938388707.74359</v>
      </c>
      <c r="N18" s="94">
        <f t="shared" si="1"/>
        <v>254346540368.97589</v>
      </c>
      <c r="O18" s="94">
        <f t="shared" si="1"/>
        <v>261976936580.04517</v>
      </c>
      <c r="P18" s="94">
        <f t="shared" si="1"/>
        <v>269836244677.44653</v>
      </c>
      <c r="Q18" s="94">
        <f t="shared" si="1"/>
        <v>277931332017.76996</v>
      </c>
      <c r="R18" s="94">
        <f t="shared" si="1"/>
        <v>286269271978.30304</v>
      </c>
      <c r="S18" s="94">
        <f t="shared" si="1"/>
        <v>294857350137.6521</v>
      </c>
      <c r="T18" s="94">
        <f t="shared" si="1"/>
        <v>303703070641.78168</v>
      </c>
      <c r="U18" s="94">
        <f t="shared" si="1"/>
        <v>312814162761.03516</v>
      </c>
      <c r="V18" s="94">
        <f t="shared" si="1"/>
        <v>322198587643.86621</v>
      </c>
      <c r="W18" s="94">
        <f t="shared" si="1"/>
        <v>331864545273.18219</v>
      </c>
      <c r="X18" s="94">
        <f t="shared" si="1"/>
        <v>341820481631.37769</v>
      </c>
      <c r="Y18" s="94">
        <f t="shared" si="1"/>
        <v>352075096080.31903</v>
      </c>
      <c r="Z18" s="94">
        <f t="shared" si="1"/>
        <v>362637348962.72858</v>
      </c>
    </row>
    <row r="19" spans="1:26" x14ac:dyDescent="0.25">
      <c r="A19" t="s">
        <v>3</v>
      </c>
      <c r="B19" s="50">
        <f>VLOOKUP($A19,VoP_Records,'VoP Calculations'!B$16-2004,FALSE)</f>
        <v>17114860000</v>
      </c>
      <c r="C19" s="50">
        <f>VLOOKUP($A19,VoP_Records,'VoP Calculations'!C$16-2004,FALSE)</f>
        <v>21891480000</v>
      </c>
      <c r="D19" s="50">
        <f>VLOOKUP($A19,VoP_Records,'VoP Calculations'!D$16-2004,FALSE)</f>
        <v>31979370000</v>
      </c>
      <c r="E19" s="50">
        <f>VLOOKUP($A19,VoP_Records,'VoP Calculations'!E$16-2004,FALSE)</f>
        <v>25783060000</v>
      </c>
      <c r="F19" s="50">
        <f>VLOOKUP($A19,VoP_Records,'VoP Calculations'!F$16-2004,FALSE)</f>
        <v>26167520000</v>
      </c>
      <c r="G19" s="50">
        <f>VLOOKUP($A19,VoP_Records,'VoP Calculations'!G$16-2004,FALSE)</f>
        <v>32556450000</v>
      </c>
      <c r="H19" s="50">
        <f>VLOOKUP($A19,VoP_Records,'VoP Calculations'!H$16-2004,FALSE)</f>
        <v>37272460000</v>
      </c>
      <c r="I19" s="50">
        <f>VLOOKUP($A19,VoP_Records,'VoP Calculations'!I$16-2004,FALSE)</f>
        <v>41112280000</v>
      </c>
      <c r="J19" s="93">
        <f t="shared" ref="J19:Z19" si="2">I19+I19*VLOOKUP($A19,VoP_Growth_Rates,2,FALSE)</f>
        <v>42345648400</v>
      </c>
      <c r="K19" s="94">
        <f t="shared" si="2"/>
        <v>43616017852</v>
      </c>
      <c r="L19" s="94">
        <f t="shared" si="2"/>
        <v>44924498387.559998</v>
      </c>
      <c r="M19" s="94">
        <f t="shared" si="2"/>
        <v>46272233339.186798</v>
      </c>
      <c r="N19" s="94">
        <f t="shared" si="2"/>
        <v>47660400339.362404</v>
      </c>
      <c r="O19" s="94">
        <f t="shared" si="2"/>
        <v>49090212349.543274</v>
      </c>
      <c r="P19" s="94">
        <f t="shared" si="2"/>
        <v>50562918720.029572</v>
      </c>
      <c r="Q19" s="94">
        <f t="shared" si="2"/>
        <v>52079806281.630455</v>
      </c>
      <c r="R19" s="94">
        <f t="shared" si="2"/>
        <v>53642200470.079369</v>
      </c>
      <c r="S19" s="94">
        <f t="shared" si="2"/>
        <v>55251466484.181747</v>
      </c>
      <c r="T19" s="94">
        <f t="shared" si="2"/>
        <v>56909010478.707199</v>
      </c>
      <c r="U19" s="94">
        <f t="shared" si="2"/>
        <v>58616280793.068413</v>
      </c>
      <c r="V19" s="94">
        <f t="shared" si="2"/>
        <v>60374769216.860466</v>
      </c>
      <c r="W19" s="94">
        <f t="shared" si="2"/>
        <v>62186012293.36628</v>
      </c>
      <c r="X19" s="94">
        <f t="shared" si="2"/>
        <v>64051592662.167267</v>
      </c>
      <c r="Y19" s="94">
        <f t="shared" si="2"/>
        <v>65973140442.032288</v>
      </c>
      <c r="Z19" s="94">
        <f t="shared" si="2"/>
        <v>67952334655.293259</v>
      </c>
    </row>
    <row r="20" spans="1:26" x14ac:dyDescent="0.25">
      <c r="A20" t="s">
        <v>4</v>
      </c>
      <c r="B20" s="50">
        <f>VLOOKUP($A20,VoP_Records,'VoP Calculations'!B$16-2004,FALSE)</f>
        <v>513138880000</v>
      </c>
      <c r="C20" s="50">
        <f>VLOOKUP($A20,VoP_Records,'VoP Calculations'!C$16-2004,FALSE)</f>
        <v>614438940000</v>
      </c>
      <c r="D20" s="50">
        <f>VLOOKUP($A20,VoP_Records,'VoP Calculations'!D$16-2004,FALSE)</f>
        <v>768741090000</v>
      </c>
      <c r="E20" s="50">
        <f>VLOOKUP($A20,VoP_Records,'VoP Calculations'!E$16-2004,FALSE)</f>
        <v>774921030000</v>
      </c>
      <c r="F20" s="50">
        <f>VLOOKUP($A20,VoP_Records,'VoP Calculations'!F$16-2004,FALSE)</f>
        <v>887215420000</v>
      </c>
      <c r="G20" s="50">
        <f>VLOOKUP($A20,VoP_Records,'VoP Calculations'!G$16-2004,FALSE)</f>
        <v>1152662210000</v>
      </c>
      <c r="H20" s="50">
        <f>VLOOKUP($A20,VoP_Records,'VoP Calculations'!H$16-2004,FALSE)</f>
        <v>1229716840000</v>
      </c>
      <c r="I20" s="50">
        <f>VLOOKUP($A20,VoP_Records,'VoP Calculations'!I$16-2004,FALSE)</f>
        <v>1284599430000</v>
      </c>
      <c r="J20" s="93">
        <f t="shared" ref="J20:Z20" si="3">I20+I20*VLOOKUP($A20,VoP_Growth_Rates,2,FALSE)</f>
        <v>1323137412900</v>
      </c>
      <c r="K20" s="94">
        <f t="shared" si="3"/>
        <v>1362831535287</v>
      </c>
      <c r="L20" s="94">
        <f t="shared" si="3"/>
        <v>1403716481345.6101</v>
      </c>
      <c r="M20" s="94">
        <f t="shared" si="3"/>
        <v>1445827975785.9785</v>
      </c>
      <c r="N20" s="94">
        <f t="shared" si="3"/>
        <v>1489202815059.5579</v>
      </c>
      <c r="O20" s="94">
        <f t="shared" si="3"/>
        <v>1533878899511.3445</v>
      </c>
      <c r="P20" s="94">
        <f t="shared" si="3"/>
        <v>1579895266496.6848</v>
      </c>
      <c r="Q20" s="94">
        <f t="shared" si="3"/>
        <v>1627292124491.5854</v>
      </c>
      <c r="R20" s="94">
        <f t="shared" si="3"/>
        <v>1676110888226.333</v>
      </c>
      <c r="S20" s="94">
        <f t="shared" si="3"/>
        <v>1726394214873.123</v>
      </c>
      <c r="T20" s="94">
        <f t="shared" si="3"/>
        <v>1778186041319.3167</v>
      </c>
      <c r="U20" s="94">
        <f t="shared" si="3"/>
        <v>1831531622558.8962</v>
      </c>
      <c r="V20" s="94">
        <f t="shared" si="3"/>
        <v>1886477571235.6631</v>
      </c>
      <c r="W20" s="94">
        <f t="shared" si="3"/>
        <v>1943071898372.7329</v>
      </c>
      <c r="X20" s="94">
        <f t="shared" si="3"/>
        <v>2001364055323.9148</v>
      </c>
      <c r="Y20" s="94">
        <f t="shared" si="3"/>
        <v>2061404976983.6323</v>
      </c>
      <c r="Z20" s="94">
        <f t="shared" si="3"/>
        <v>2123247126293.1414</v>
      </c>
    </row>
    <row r="21" spans="1:26" x14ac:dyDescent="0.25">
      <c r="A21" t="s">
        <v>5</v>
      </c>
      <c r="B21" s="50">
        <f>VLOOKUP($A21,VoP_Records,'VoP Calculations'!B$16-2004,FALSE)</f>
        <v>307584630000</v>
      </c>
      <c r="C21" s="50">
        <f>VLOOKUP($A21,VoP_Records,'VoP Calculations'!C$16-2004,FALSE)</f>
        <v>370185060000</v>
      </c>
      <c r="D21" s="50">
        <f>VLOOKUP($A21,VoP_Records,'VoP Calculations'!D$16-2004,FALSE)</f>
        <v>419390290000</v>
      </c>
      <c r="E21" s="50">
        <f>VLOOKUP($A21,VoP_Records,'VoP Calculations'!E$16-2004,FALSE)</f>
        <v>338960910000</v>
      </c>
      <c r="F21" s="50">
        <f>VLOOKUP($A21,VoP_Records,'VoP Calculations'!F$16-2004,FALSE)</f>
        <v>354471320000</v>
      </c>
      <c r="G21" s="50">
        <f>VLOOKUP($A21,VoP_Records,'VoP Calculations'!G$16-2004,FALSE)</f>
        <v>413246520000</v>
      </c>
      <c r="H21" s="50">
        <f>VLOOKUP($A21,VoP_Records,'VoP Calculations'!H$16-2004,FALSE)</f>
        <v>387688440000</v>
      </c>
      <c r="I21" s="50">
        <f>VLOOKUP($A21,VoP_Records,'VoP Calculations'!I$16-2004,FALSE)</f>
        <v>413444430000</v>
      </c>
      <c r="J21" s="93">
        <f t="shared" ref="J21:Z21" si="4">I21+I21*VLOOKUP($A21,VoP_Growth_Rates,2,FALSE)</f>
        <v>425847762900</v>
      </c>
      <c r="K21" s="94">
        <f t="shared" si="4"/>
        <v>438623195787</v>
      </c>
      <c r="L21" s="94">
        <f t="shared" si="4"/>
        <v>451781891660.60999</v>
      </c>
      <c r="M21" s="94">
        <f t="shared" si="4"/>
        <v>465335348410.42828</v>
      </c>
      <c r="N21" s="94">
        <f t="shared" si="4"/>
        <v>479295408862.74115</v>
      </c>
      <c r="O21" s="94">
        <f t="shared" si="4"/>
        <v>493674271128.62341</v>
      </c>
      <c r="P21" s="94">
        <f t="shared" si="4"/>
        <v>508484499262.48212</v>
      </c>
      <c r="Q21" s="94">
        <f t="shared" si="4"/>
        <v>523739034240.35657</v>
      </c>
      <c r="R21" s="94">
        <f t="shared" si="4"/>
        <v>539451205267.56726</v>
      </c>
      <c r="S21" s="94">
        <f t="shared" si="4"/>
        <v>555634741425.59424</v>
      </c>
      <c r="T21" s="94">
        <f t="shared" si="4"/>
        <v>572303783668.36206</v>
      </c>
      <c r="U21" s="94">
        <f t="shared" si="4"/>
        <v>589472897178.41296</v>
      </c>
      <c r="V21" s="94">
        <f t="shared" si="4"/>
        <v>607157084093.76538</v>
      </c>
      <c r="W21" s="94">
        <f t="shared" si="4"/>
        <v>625371796616.57837</v>
      </c>
      <c r="X21" s="94">
        <f t="shared" si="4"/>
        <v>644132950515.07568</v>
      </c>
      <c r="Y21" s="94">
        <f t="shared" si="4"/>
        <v>663456939030.52795</v>
      </c>
      <c r="Z21" s="94">
        <f t="shared" si="4"/>
        <v>683360647201.44385</v>
      </c>
    </row>
    <row r="22" spans="1:26" x14ac:dyDescent="0.25">
      <c r="A22" t="s">
        <v>6</v>
      </c>
      <c r="B22" s="50">
        <f>VLOOKUP($A22,VoP_Records,'VoP Calculations'!B$16-2004,FALSE)</f>
        <v>155558510000</v>
      </c>
      <c r="C22" s="50">
        <f>VLOOKUP($A22,VoP_Records,'VoP Calculations'!C$16-2004,FALSE)</f>
        <v>199631800000</v>
      </c>
      <c r="D22" s="50">
        <f>VLOOKUP($A22,VoP_Records,'VoP Calculations'!D$16-2004,FALSE)</f>
        <v>215061710000</v>
      </c>
      <c r="E22" s="50">
        <f>VLOOKUP($A22,VoP_Records,'VoP Calculations'!E$16-2004,FALSE)</f>
        <v>206898020000</v>
      </c>
      <c r="F22" s="50">
        <f>VLOOKUP($A22,VoP_Records,'VoP Calculations'!F$16-2004,FALSE)</f>
        <v>230630890000</v>
      </c>
      <c r="G22" s="50">
        <f>VLOOKUP($A22,VoP_Records,'VoP Calculations'!G$16-2004,FALSE)</f>
        <v>247363500000</v>
      </c>
      <c r="H22" s="50">
        <f>VLOOKUP($A22,VoP_Records,'VoP Calculations'!H$16-2004,FALSE)</f>
        <v>238672350000</v>
      </c>
      <c r="I22" s="50">
        <f>VLOOKUP($A22,VoP_Records,'VoP Calculations'!I$16-2004,FALSE)</f>
        <v>256781770000</v>
      </c>
      <c r="J22" s="93">
        <f t="shared" ref="J22:Z22" si="5">I22+I22*VLOOKUP($A22,VoP_Growth_Rates,2,FALSE)</f>
        <v>264485223100</v>
      </c>
      <c r="K22" s="94">
        <f t="shared" si="5"/>
        <v>272419779793</v>
      </c>
      <c r="L22" s="94">
        <f t="shared" si="5"/>
        <v>280592373186.78998</v>
      </c>
      <c r="M22" s="94">
        <f t="shared" si="5"/>
        <v>289010144382.39368</v>
      </c>
      <c r="N22" s="94">
        <f t="shared" si="5"/>
        <v>297680448713.86548</v>
      </c>
      <c r="O22" s="94">
        <f t="shared" si="5"/>
        <v>306610862175.28143</v>
      </c>
      <c r="P22" s="94">
        <f t="shared" si="5"/>
        <v>315809188040.53986</v>
      </c>
      <c r="Q22" s="94">
        <f t="shared" si="5"/>
        <v>325283463681.75604</v>
      </c>
      <c r="R22" s="94">
        <f t="shared" si="5"/>
        <v>335041967592.20874</v>
      </c>
      <c r="S22" s="94">
        <f t="shared" si="5"/>
        <v>345093226619.97498</v>
      </c>
      <c r="T22" s="94">
        <f t="shared" si="5"/>
        <v>355446023418.57422</v>
      </c>
      <c r="U22" s="94">
        <f t="shared" si="5"/>
        <v>366109404121.13147</v>
      </c>
      <c r="V22" s="94">
        <f t="shared" si="5"/>
        <v>377092686244.76544</v>
      </c>
      <c r="W22" s="94">
        <f t="shared" si="5"/>
        <v>388405466832.1084</v>
      </c>
      <c r="X22" s="94">
        <f t="shared" si="5"/>
        <v>400057630837.07166</v>
      </c>
      <c r="Y22" s="94">
        <f t="shared" si="5"/>
        <v>412059359762.18378</v>
      </c>
      <c r="Z22" s="94">
        <f t="shared" si="5"/>
        <v>424421140555.04932</v>
      </c>
    </row>
    <row r="23" spans="1:26" x14ac:dyDescent="0.25">
      <c r="A23" t="s">
        <v>7</v>
      </c>
      <c r="B23" s="50">
        <f>VLOOKUP($A23,VoP_Records,'VoP Calculations'!B$16-2004,FALSE)</f>
        <v>46082250000</v>
      </c>
      <c r="C23" s="50">
        <f>VLOOKUP($A23,VoP_Records,'VoP Calculations'!C$16-2004,FALSE)</f>
        <v>54927390000</v>
      </c>
      <c r="D23" s="50">
        <f>VLOOKUP($A23,VoP_Records,'VoP Calculations'!D$16-2004,FALSE)</f>
        <v>67406509999.999992</v>
      </c>
      <c r="E23" s="50">
        <f>VLOOKUP($A23,VoP_Records,'VoP Calculations'!E$16-2004,FALSE)</f>
        <v>67798850000.000008</v>
      </c>
      <c r="F23" s="50">
        <f>VLOOKUP($A23,VoP_Records,'VoP Calculations'!F$16-2004,FALSE)</f>
        <v>92455690000</v>
      </c>
      <c r="G23" s="50">
        <f>VLOOKUP($A23,VoP_Records,'VoP Calculations'!G$16-2004,FALSE)</f>
        <v>141115870000</v>
      </c>
      <c r="H23" s="50">
        <f>VLOOKUP($A23,VoP_Records,'VoP Calculations'!H$16-2004,FALSE)</f>
        <v>144297800000</v>
      </c>
      <c r="I23" s="50">
        <f>VLOOKUP($A23,VoP_Records,'VoP Calculations'!I$16-2004,FALSE)</f>
        <v>126046840000</v>
      </c>
      <c r="J23" s="93">
        <f t="shared" ref="J23:Z23" si="6">I23+I23*VLOOKUP($A23,VoP_Growth_Rates,2,FALSE)</f>
        <v>129828245200</v>
      </c>
      <c r="K23" s="94">
        <f t="shared" si="6"/>
        <v>133723092556</v>
      </c>
      <c r="L23" s="94">
        <f t="shared" si="6"/>
        <v>137734785332.67999</v>
      </c>
      <c r="M23" s="94">
        <f t="shared" si="6"/>
        <v>141866828892.6604</v>
      </c>
      <c r="N23" s="94">
        <f t="shared" si="6"/>
        <v>146122833759.44022</v>
      </c>
      <c r="O23" s="94">
        <f t="shared" si="6"/>
        <v>150506518772.22342</v>
      </c>
      <c r="P23" s="94">
        <f t="shared" si="6"/>
        <v>155021714335.39014</v>
      </c>
      <c r="Q23" s="94">
        <f t="shared" si="6"/>
        <v>159672365765.45184</v>
      </c>
      <c r="R23" s="94">
        <f t="shared" si="6"/>
        <v>164462536738.41541</v>
      </c>
      <c r="S23" s="94">
        <f t="shared" si="6"/>
        <v>169396412840.56787</v>
      </c>
      <c r="T23" s="94">
        <f t="shared" si="6"/>
        <v>174478305225.78491</v>
      </c>
      <c r="U23" s="94">
        <f t="shared" si="6"/>
        <v>179712654382.55847</v>
      </c>
      <c r="V23" s="94">
        <f t="shared" si="6"/>
        <v>185104034014.03522</v>
      </c>
      <c r="W23" s="94">
        <f t="shared" si="6"/>
        <v>190657155034.45627</v>
      </c>
      <c r="X23" s="94">
        <f t="shared" si="6"/>
        <v>196376869685.48996</v>
      </c>
      <c r="Y23" s="94">
        <f t="shared" si="6"/>
        <v>202268175776.05466</v>
      </c>
      <c r="Z23" s="94">
        <f t="shared" si="6"/>
        <v>208336221049.3363</v>
      </c>
    </row>
    <row r="24" spans="1:26" x14ac:dyDescent="0.25">
      <c r="A24" t="s">
        <v>8</v>
      </c>
      <c r="B24" s="50">
        <f>VLOOKUP($A24,VoP_Records,'VoP Calculations'!B$16-2004,FALSE)</f>
        <v>60864140000</v>
      </c>
      <c r="C24" s="50">
        <f>VLOOKUP($A24,VoP_Records,'VoP Calculations'!C$16-2004,FALSE)</f>
        <v>58420380000</v>
      </c>
      <c r="D24" s="50">
        <f>VLOOKUP($A24,VoP_Records,'VoP Calculations'!D$16-2004,FALSE)</f>
        <v>66905580000</v>
      </c>
      <c r="E24" s="50">
        <f>VLOOKUP($A24,VoP_Records,'VoP Calculations'!E$16-2004,FALSE)</f>
        <v>71731720000</v>
      </c>
      <c r="F24" s="50">
        <f>VLOOKUP($A24,VoP_Records,'VoP Calculations'!F$16-2004,FALSE)</f>
        <v>77693690000</v>
      </c>
      <c r="G24" s="50">
        <f>VLOOKUP($A24,VoP_Records,'VoP Calculations'!G$16-2004,FALSE)</f>
        <v>81940130000</v>
      </c>
      <c r="H24" s="50">
        <f>VLOOKUP($A24,VoP_Records,'VoP Calculations'!H$16-2004,FALSE)</f>
        <v>86940080000</v>
      </c>
      <c r="I24" s="50">
        <f>VLOOKUP($A24,VoP_Records,'VoP Calculations'!I$16-2004,FALSE)</f>
        <v>71147430000</v>
      </c>
      <c r="J24" s="93">
        <f t="shared" ref="J24:Z24" si="7">I24+I24*VLOOKUP($A24,VoP_Growth_Rates,2,FALSE)</f>
        <v>73281852900</v>
      </c>
      <c r="K24" s="94">
        <f t="shared" si="7"/>
        <v>75480308487</v>
      </c>
      <c r="L24" s="94">
        <f t="shared" si="7"/>
        <v>77744717741.610001</v>
      </c>
      <c r="M24" s="94">
        <f t="shared" si="7"/>
        <v>80077059273.858307</v>
      </c>
      <c r="N24" s="94">
        <f t="shared" si="7"/>
        <v>82479371052.074051</v>
      </c>
      <c r="O24" s="94">
        <f t="shared" si="7"/>
        <v>84953752183.636276</v>
      </c>
      <c r="P24" s="94">
        <f t="shared" si="7"/>
        <v>87502364749.14537</v>
      </c>
      <c r="Q24" s="94">
        <f t="shared" si="7"/>
        <v>90127435691.619736</v>
      </c>
      <c r="R24" s="94">
        <f t="shared" si="7"/>
        <v>92831258762.368332</v>
      </c>
      <c r="S24" s="94">
        <f t="shared" si="7"/>
        <v>95616196525.23938</v>
      </c>
      <c r="T24" s="94">
        <f t="shared" si="7"/>
        <v>98484682420.996567</v>
      </c>
      <c r="U24" s="94">
        <f t="shared" si="7"/>
        <v>101439222893.62646</v>
      </c>
      <c r="V24" s="94">
        <f t="shared" si="7"/>
        <v>104482399580.43526</v>
      </c>
      <c r="W24" s="94">
        <f t="shared" si="7"/>
        <v>107616871567.84831</v>
      </c>
      <c r="X24" s="94">
        <f t="shared" si="7"/>
        <v>110845377714.88376</v>
      </c>
      <c r="Y24" s="94">
        <f t="shared" si="7"/>
        <v>114170739046.33028</v>
      </c>
      <c r="Z24" s="94">
        <f t="shared" si="7"/>
        <v>117595861217.72018</v>
      </c>
    </row>
    <row r="25" spans="1:26" x14ac:dyDescent="0.25">
      <c r="A25" t="s">
        <v>10</v>
      </c>
      <c r="B25" s="50">
        <f>VLOOKUP($A25,VoP_Records,'VoP Calculations'!B$16-2004,FALSE)</f>
        <v>181753540000</v>
      </c>
      <c r="C25" s="50">
        <f>VLOOKUP($A25,VoP_Records,'VoP Calculations'!C$16-2004,FALSE)</f>
        <v>244073580000</v>
      </c>
      <c r="D25" s="50">
        <f>VLOOKUP($A25,VoP_Records,'VoP Calculations'!D$16-2004,FALSE)</f>
        <v>249290630000</v>
      </c>
      <c r="E25" s="50">
        <f>VLOOKUP($A25,VoP_Records,'VoP Calculations'!E$16-2004,FALSE)</f>
        <v>227040750000</v>
      </c>
      <c r="F25" s="50">
        <f>VLOOKUP($A25,VoP_Records,'VoP Calculations'!F$16-2004,FALSE)</f>
        <v>275968550000</v>
      </c>
      <c r="G25" s="50">
        <f>VLOOKUP($A25,VoP_Records,'VoP Calculations'!G$16-2004,FALSE)</f>
        <v>304088930000</v>
      </c>
      <c r="H25" s="50">
        <f>VLOOKUP($A25,VoP_Records,'VoP Calculations'!H$16-2004,FALSE)</f>
        <v>315680080000</v>
      </c>
      <c r="I25" s="50">
        <f>VLOOKUP($A25,VoP_Records,'VoP Calculations'!I$16-2004,FALSE)</f>
        <v>311084290000</v>
      </c>
      <c r="J25" s="93">
        <f t="shared" ref="J25:Z25" si="8">I25+I25*VLOOKUP($A25,VoP_Growth_Rates,2,FALSE)</f>
        <v>320416818700</v>
      </c>
      <c r="K25" s="94">
        <f t="shared" si="8"/>
        <v>330029323261</v>
      </c>
      <c r="L25" s="94">
        <f t="shared" si="8"/>
        <v>339930202958.83002</v>
      </c>
      <c r="M25" s="94">
        <f t="shared" si="8"/>
        <v>350128109047.59491</v>
      </c>
      <c r="N25" s="94">
        <f t="shared" si="8"/>
        <v>360631952319.02277</v>
      </c>
      <c r="O25" s="94">
        <f t="shared" si="8"/>
        <v>371450910888.59344</v>
      </c>
      <c r="P25" s="94">
        <f t="shared" si="8"/>
        <v>382594438215.25122</v>
      </c>
      <c r="Q25" s="94">
        <f t="shared" si="8"/>
        <v>394072271361.70874</v>
      </c>
      <c r="R25" s="94">
        <f t="shared" si="8"/>
        <v>405894439502.56</v>
      </c>
      <c r="S25" s="94">
        <f t="shared" si="8"/>
        <v>418071272687.63678</v>
      </c>
      <c r="T25" s="94">
        <f t="shared" si="8"/>
        <v>430613410868.26587</v>
      </c>
      <c r="U25" s="94">
        <f t="shared" si="8"/>
        <v>443531813194.31384</v>
      </c>
      <c r="V25" s="94">
        <f t="shared" si="8"/>
        <v>456837767590.14325</v>
      </c>
      <c r="W25" s="94">
        <f t="shared" si="8"/>
        <v>470542900617.84753</v>
      </c>
      <c r="X25" s="94">
        <f t="shared" si="8"/>
        <v>484659187636.38293</v>
      </c>
      <c r="Y25" s="94">
        <f t="shared" si="8"/>
        <v>499198963265.47443</v>
      </c>
      <c r="Z25" s="94">
        <f t="shared" si="8"/>
        <v>514174932163.43866</v>
      </c>
    </row>
    <row r="26" spans="1:26" x14ac:dyDescent="0.25">
      <c r="A26">
        <f>'Custom Member Setup'!D3</f>
        <v>0</v>
      </c>
      <c r="B26" s="50">
        <f>'Custom Member Calcs'!B3</f>
        <v>0</v>
      </c>
      <c r="C26" s="50">
        <f>'Custom Member Calcs'!C3</f>
        <v>0</v>
      </c>
      <c r="D26" s="50">
        <f>'Custom Member Calcs'!D3</f>
        <v>0</v>
      </c>
      <c r="E26" s="50">
        <f>'Custom Member Calcs'!E3</f>
        <v>0</v>
      </c>
      <c r="F26" s="50">
        <f>'Custom Member Calcs'!F3</f>
        <v>0</v>
      </c>
      <c r="G26" s="50">
        <f>'Custom Member Calcs'!G3</f>
        <v>0</v>
      </c>
      <c r="H26" s="50">
        <f>'Custom Member Calcs'!H3</f>
        <v>0</v>
      </c>
      <c r="I26" s="50">
        <f>'Custom Member Calcs'!I3</f>
        <v>0</v>
      </c>
      <c r="J26" s="50">
        <f>'Custom Member Calcs'!J3</f>
        <v>0</v>
      </c>
      <c r="K26" s="50">
        <f>'Custom Member Calcs'!K3</f>
        <v>0</v>
      </c>
      <c r="L26" s="50">
        <f>'Custom Member Calcs'!L3</f>
        <v>0</v>
      </c>
      <c r="M26" s="50">
        <f>'Custom Member Calcs'!M3</f>
        <v>0</v>
      </c>
      <c r="N26" s="50">
        <f>'Custom Member Calcs'!N3</f>
        <v>0</v>
      </c>
      <c r="O26" s="50">
        <f>'Custom Member Calcs'!O3</f>
        <v>0</v>
      </c>
      <c r="P26" s="50">
        <f>'Custom Member Calcs'!P3</f>
        <v>0</v>
      </c>
      <c r="Q26" s="50">
        <f>'Custom Member Calcs'!Q3</f>
        <v>0</v>
      </c>
      <c r="R26" s="50">
        <f>'Custom Member Calcs'!R3</f>
        <v>0</v>
      </c>
      <c r="S26" s="50">
        <f>'Custom Member Calcs'!S3</f>
        <v>0</v>
      </c>
      <c r="T26" s="50">
        <f>'Custom Member Calcs'!T3</f>
        <v>0</v>
      </c>
      <c r="U26" s="50">
        <f>'Custom Member Calcs'!U3</f>
        <v>0</v>
      </c>
      <c r="V26" s="50">
        <f>'Custom Member Calcs'!V3</f>
        <v>0</v>
      </c>
      <c r="W26" s="50">
        <f>'Custom Member Calcs'!W3</f>
        <v>0</v>
      </c>
      <c r="X26" s="50">
        <f>'Custom Member Calcs'!X3</f>
        <v>0</v>
      </c>
      <c r="Y26" s="50">
        <f>'Custom Member Calcs'!Y3</f>
        <v>0</v>
      </c>
      <c r="Z26" s="50">
        <f>'Custom Member Calcs'!Z3</f>
        <v>0</v>
      </c>
    </row>
    <row r="29" spans="1:26" ht="28.5" x14ac:dyDescent="0.45">
      <c r="A29" s="208" t="s">
        <v>179</v>
      </c>
      <c r="B29" s="208"/>
      <c r="C29" s="208"/>
    </row>
    <row r="30" spans="1:26" ht="28.5" x14ac:dyDescent="0.45">
      <c r="A30" s="162" t="s">
        <v>161</v>
      </c>
      <c r="B30" s="162" t="s">
        <v>164</v>
      </c>
      <c r="C30" s="161"/>
    </row>
    <row r="31" spans="1:26" x14ac:dyDescent="0.25">
      <c r="A31" t="str">
        <f>A17</f>
        <v>Australia</v>
      </c>
      <c r="B31" s="48">
        <f>IFERROR(IF(VLOOKUP(A31,Custom_Growth_Rates,2,FALSE)="",Machine!$D$10,VLOOKUP(A31,Custom_Growth_Rates,2,FALSE)),Machine!$D$10)</f>
        <v>0.03</v>
      </c>
      <c r="C31" s="50"/>
    </row>
    <row r="32" spans="1:26" x14ac:dyDescent="0.25">
      <c r="A32" t="str">
        <f t="shared" ref="A32:A40" si="9">A18</f>
        <v>Brazil</v>
      </c>
      <c r="B32" s="48">
        <f>IFERROR(IF(VLOOKUP(A32,Custom_Growth_Rates,2,FALSE)="",Machine!$D$10,VLOOKUP(A32,Custom_Growth_Rates,2,FALSE)),Machine!$D$10)</f>
        <v>0.03</v>
      </c>
      <c r="C32" s="50"/>
    </row>
    <row r="33" spans="1:3" x14ac:dyDescent="0.25">
      <c r="A33" t="str">
        <f t="shared" si="9"/>
        <v>Canada</v>
      </c>
      <c r="B33" s="48">
        <f>IFERROR(IF(VLOOKUP(A33,Custom_Growth_Rates,2,FALSE)="",Machine!$D$10,VLOOKUP(A33,Custom_Growth_Rates,2,FALSE)),Machine!$D$10)</f>
        <v>0.03</v>
      </c>
      <c r="C33" s="50"/>
    </row>
    <row r="34" spans="1:3" x14ac:dyDescent="0.25">
      <c r="A34" t="str">
        <f t="shared" si="9"/>
        <v>China</v>
      </c>
      <c r="B34" s="48">
        <f>IFERROR(IF(VLOOKUP(A34,Custom_Growth_Rates,2,FALSE)="",Machine!$D$10,VLOOKUP(A34,Custom_Growth_Rates,2,FALSE)),Machine!$D$10)</f>
        <v>0.03</v>
      </c>
      <c r="C34" s="50"/>
    </row>
    <row r="35" spans="1:3" x14ac:dyDescent="0.25">
      <c r="A35" t="str">
        <f t="shared" si="9"/>
        <v>European Union</v>
      </c>
      <c r="B35" s="48">
        <f>IFERROR(IF(VLOOKUP(A35,Custom_Growth_Rates,2,FALSE)="",Machine!$D$10,VLOOKUP(A35,Custom_Growth_Rates,2,FALSE)),Machine!$D$10)</f>
        <v>0.03</v>
      </c>
      <c r="C35" s="50"/>
    </row>
    <row r="36" spans="1:3" x14ac:dyDescent="0.25">
      <c r="A36" t="str">
        <f t="shared" si="9"/>
        <v>India</v>
      </c>
      <c r="B36" s="48">
        <f>IFERROR(IF(VLOOKUP(A36,Custom_Growth_Rates,2,FALSE)="",Machine!$D$10,VLOOKUP(A36,Custom_Growth_Rates,2,FALSE)),Machine!$D$10)</f>
        <v>0.03</v>
      </c>
      <c r="C36" s="50"/>
    </row>
    <row r="37" spans="1:3" x14ac:dyDescent="0.25">
      <c r="A37" t="str">
        <f t="shared" si="9"/>
        <v>Indonesia</v>
      </c>
      <c r="B37" s="48">
        <f>IFERROR(IF(VLOOKUP(A37,Custom_Growth_Rates,2,FALSE)="",Machine!$D$10,VLOOKUP(A37,Custom_Growth_Rates,2,FALSE)),Machine!$D$10)</f>
        <v>0.03</v>
      </c>
      <c r="C37" s="50"/>
    </row>
    <row r="38" spans="1:3" x14ac:dyDescent="0.25">
      <c r="A38" t="str">
        <f t="shared" si="9"/>
        <v>Japan</v>
      </c>
      <c r="B38" s="48">
        <f>IFERROR(IF(VLOOKUP(A38,Custom_Growth_Rates,2,FALSE)="",Machine!$D$10,VLOOKUP(A38,Custom_Growth_Rates,2,FALSE)),Machine!$D$10)</f>
        <v>0.03</v>
      </c>
      <c r="C38" s="50"/>
    </row>
    <row r="39" spans="1:3" x14ac:dyDescent="0.25">
      <c r="A39" t="str">
        <f t="shared" si="9"/>
        <v>United States of America</v>
      </c>
      <c r="B39" s="48">
        <f>IFERROR(IF(VLOOKUP(A39,Custom_Growth_Rates,2,FALSE)="",Machine!$D$10,VLOOKUP(A39,Custom_Growth_Rates,2,FALSE)),Machine!$D$10)</f>
        <v>0.03</v>
      </c>
      <c r="C39" s="50"/>
    </row>
    <row r="40" spans="1:3" x14ac:dyDescent="0.25">
      <c r="A40">
        <f t="shared" si="9"/>
        <v>0</v>
      </c>
      <c r="B40" s="48">
        <f>IFERROR(IF(VLOOKUP(A40,Custom_Growth_Rates,2,FALSE)="",Machine!$D$10,VLOOKUP(A40,Custom_Growth_Rates,2,FALSE)),Machine!$D$10)</f>
        <v>0.03</v>
      </c>
    </row>
    <row r="42" spans="1:3" ht="28.5" x14ac:dyDescent="0.45">
      <c r="A42" s="208" t="s">
        <v>205</v>
      </c>
      <c r="B42" s="208"/>
      <c r="C42" s="208"/>
    </row>
    <row r="43" spans="1:3" x14ac:dyDescent="0.25">
      <c r="A43" t="s">
        <v>1</v>
      </c>
      <c r="B43" s="50">
        <f>AVERAGE(INDEX($A$16:$Z$25,MATCH(A43,$A$16:$A$25,0),MATCH(Machine!$C$24,$A$16:$Z$16)):INDEX($A$16:$Z$25,MATCH(A43,$A$16:$A$25,0),MATCH(Machine!$D$24,$A$16:$Z$16)))</f>
        <v>36509827626.237274</v>
      </c>
    </row>
    <row r="44" spans="1:3" x14ac:dyDescent="0.25">
      <c r="A44" t="s">
        <v>2</v>
      </c>
      <c r="B44" s="50">
        <f>AVERAGE(INDEX($A$16:$Z$25,MATCH(A44,$A$16:$A$25,0),MATCH(Machine!$C$24,$A$16:$Z$16)):INDEX($A$16:$Z$25,MATCH(A44,$A$16:$A$25,0),MATCH(Machine!$D$24,$A$16:$Z$16)))</f>
        <v>177935020932.55637</v>
      </c>
    </row>
    <row r="45" spans="1:3" x14ac:dyDescent="0.25">
      <c r="A45" t="s">
        <v>3</v>
      </c>
      <c r="B45" s="50">
        <f>AVERAGE(INDEX($A$16:$Z$25,MATCH(A45,$A$16:$A$25,0),MATCH(Machine!$C$24,$A$16:$Z$16)):INDEX($A$16:$Z$25,MATCH(A45,$A$16:$A$25,0),MATCH(Machine!$D$24,$A$16:$Z$16)))</f>
        <v>33160331330.869091</v>
      </c>
    </row>
    <row r="46" spans="1:3" x14ac:dyDescent="0.25">
      <c r="A46" t="s">
        <v>4</v>
      </c>
      <c r="B46" s="50">
        <f>AVERAGE(INDEX($A$16:$Z$25,MATCH(A46,$A$16:$A$25,0),MATCH(Machine!$C$24,$A$16:$Z$16)):INDEX($A$16:$Z$25,MATCH(A46,$A$16:$A$25,0),MATCH(Machine!$D$24,$A$16:$Z$16)))</f>
        <v>1028647206321.1464</v>
      </c>
    </row>
    <row r="47" spans="1:3" x14ac:dyDescent="0.25">
      <c r="A47" t="s">
        <v>5</v>
      </c>
      <c r="B47" s="50">
        <f>AVERAGE(INDEX($A$16:$Z$25,MATCH(A47,$A$16:$A$25,0),MATCH(Machine!$C$24,$A$16:$Z$16)):INDEX($A$16:$Z$25,MATCH(A47,$A$16:$A$25,0),MATCH(Machine!$D$24,$A$16:$Z$16)))</f>
        <v>392838586395.23724</v>
      </c>
    </row>
    <row r="48" spans="1:3" x14ac:dyDescent="0.25">
      <c r="A48" t="s">
        <v>6</v>
      </c>
      <c r="B48" s="50">
        <f>AVERAGE(INDEX($A$16:$Z$25,MATCH(A48,$A$16:$A$25,0),MATCH(Machine!$C$24,$A$16:$Z$16)):INDEX($A$16:$Z$25,MATCH(A48,$A$16:$A$25,0),MATCH(Machine!$D$24,$A$16:$Z$16)))</f>
        <v>233463266007.25363</v>
      </c>
    </row>
    <row r="49" spans="1:2" x14ac:dyDescent="0.25">
      <c r="A49" t="s">
        <v>7</v>
      </c>
      <c r="B49" s="50">
        <f>AVERAGE(INDEX($A$16:$Z$25,MATCH(A49,$A$16:$A$25,0),MATCH(Machine!$C$24,$A$16:$Z$16)):INDEX($A$16:$Z$25,MATCH(A49,$A$16:$A$25,0),MATCH(Machine!$D$24,$A$16:$Z$16)))</f>
        <v>103765211189.87999</v>
      </c>
    </row>
    <row r="50" spans="1:2" x14ac:dyDescent="0.25">
      <c r="A50" t="s">
        <v>8</v>
      </c>
      <c r="B50" s="50">
        <f>AVERAGE(INDEX($A$16:$Z$25,MATCH(A50,$A$16:$A$25,0),MATCH(Machine!$C$24,$A$16:$Z$16)):INDEX($A$16:$Z$25,MATCH(A50,$A$16:$A$25,0),MATCH(Machine!$D$24,$A$16:$Z$16)))</f>
        <v>72922729920.78273</v>
      </c>
    </row>
    <row r="51" spans="1:2" x14ac:dyDescent="0.25">
      <c r="A51" t="s">
        <v>10</v>
      </c>
      <c r="B51" s="50">
        <f>AVERAGE(INDEX($A$16:$Z$25,MATCH(A51,$A$16:$A$25,0),MATCH(Machine!$C$24,$A$16:$Z$16)):INDEX($A$16:$Z$25,MATCH(A51,$A$16:$A$25,0),MATCH(Machine!$D$24,$A$16:$Z$16)))</f>
        <v>281759699538.16638</v>
      </c>
    </row>
    <row r="52" spans="1:2" x14ac:dyDescent="0.25">
      <c r="A52">
        <f>A26</f>
        <v>0</v>
      </c>
      <c r="B52" s="50">
        <f>AVERAGE(INDEX($A$16:$Z$26,MATCH(A52,$A$16:$A$26,0),MATCH(Machine!$C$24,$A$16:$Z$16)):INDEX($A$16:$Z$26,MATCH(A52,$A$16:$A$26,0),MATCH(Machine!$D$24,$A$16:$Z$16)))</f>
        <v>0</v>
      </c>
    </row>
  </sheetData>
  <customSheetViews>
    <customSheetView guid="{821D1691-1FA5-412F-8FF4-9E35B3587D16}" topLeftCell="K1">
      <selection activeCell="B29" sqref="B29"/>
      <pageMargins left="0.7" right="0.7" top="0.75" bottom="0.75" header="0.3" footer="0.3"/>
    </customSheetView>
  </customSheetViews>
  <mergeCells count="4">
    <mergeCell ref="A1:E2"/>
    <mergeCell ref="A15:C15"/>
    <mergeCell ref="A29:C29"/>
    <mergeCell ref="A42:C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12"/>
  <sheetViews>
    <sheetView zoomScaleNormal="100" workbookViewId="0">
      <selection activeCell="M10" sqref="M10"/>
    </sheetView>
  </sheetViews>
  <sheetFormatPr defaultRowHeight="15" x14ac:dyDescent="0.25"/>
  <cols>
    <col min="1" max="1" width="22.28515625" customWidth="1"/>
    <col min="2" max="3" width="12.140625" customWidth="1"/>
    <col min="4" max="4" width="13.28515625" customWidth="1"/>
    <col min="5" max="5" width="12.7109375" customWidth="1"/>
    <col min="6" max="6" width="12" customWidth="1"/>
    <col min="7" max="7" width="12.28515625" customWidth="1"/>
    <col min="8" max="8" width="14" customWidth="1"/>
    <col min="9" max="9" width="11.7109375" customWidth="1"/>
  </cols>
  <sheetData>
    <row r="1" spans="1:9" ht="15.75" customHeight="1" thickBot="1" x14ac:dyDescent="0.3">
      <c r="A1" s="218" t="s">
        <v>163</v>
      </c>
      <c r="B1" s="219"/>
      <c r="C1" s="219"/>
      <c r="D1" s="219"/>
      <c r="E1" s="220"/>
      <c r="F1" s="209" t="str">
        <f>"How does an Overall Trade Distorting Support Limit of "&amp;100*B4&amp;"% for developing countries and "&amp;100*B5&amp;"% for developed countries compare to the spending limits and actual spending of Members?"</f>
        <v>How does an Overall Trade Distorting Support Limit of 22% for developing countries and 20% for developed countries compare to the spending limits and actual spending of Members?</v>
      </c>
      <c r="G1" s="210"/>
      <c r="H1" s="210"/>
      <c r="I1" s="211"/>
    </row>
    <row r="2" spans="1:9" ht="23.25" thickTop="1" x14ac:dyDescent="0.25">
      <c r="A2" s="64" t="s">
        <v>165</v>
      </c>
      <c r="B2" s="68">
        <f>Machine!D10</f>
        <v>0.03</v>
      </c>
      <c r="C2" s="63" t="str">
        <f>Machine!B2</f>
        <v>Select Members</v>
      </c>
      <c r="D2" s="63">
        <f>Machine!C46</f>
        <v>0</v>
      </c>
      <c r="E2" s="66" t="str">
        <f>Machine!D14</f>
        <v>Custom TDS Growth Rate</v>
      </c>
      <c r="F2" s="212"/>
      <c r="G2" s="213"/>
      <c r="H2" s="213"/>
      <c r="I2" s="214"/>
    </row>
    <row r="3" spans="1:9" x14ac:dyDescent="0.25">
      <c r="A3" s="65" t="s">
        <v>167</v>
      </c>
      <c r="B3" s="69" t="str">
        <f>Machine!D23</f>
        <v>Average</v>
      </c>
      <c r="C3" s="41" t="str">
        <f>IF(Machine!B3="","",Machine!B3)</f>
        <v>Japan</v>
      </c>
      <c r="D3" s="62" t="str">
        <f>IF(Machine!C16="","None Set",Machine!C16)</f>
        <v>None Set</v>
      </c>
      <c r="E3" s="67" t="str">
        <f>IF(Machine!D16="","None Set",Machine!D16)</f>
        <v>None Set</v>
      </c>
      <c r="F3" s="212"/>
      <c r="G3" s="213"/>
      <c r="H3" s="213"/>
      <c r="I3" s="214"/>
    </row>
    <row r="4" spans="1:9" x14ac:dyDescent="0.25">
      <c r="A4" s="65" t="s">
        <v>185</v>
      </c>
      <c r="B4" s="70">
        <f>Machine!D25</f>
        <v>0.22</v>
      </c>
      <c r="C4" s="41" t="str">
        <f>IF(Machine!B4="","",Machine!B4)</f>
        <v/>
      </c>
      <c r="D4" s="62" t="str">
        <f>IF(Machine!C17="","None Set",Machine!C17)</f>
        <v>None Set</v>
      </c>
      <c r="E4" s="67" t="str">
        <f>IF(Machine!D17="","None Set",Machine!D17)</f>
        <v>None Set</v>
      </c>
      <c r="F4" s="212"/>
      <c r="G4" s="213"/>
      <c r="H4" s="213"/>
      <c r="I4" s="214"/>
    </row>
    <row r="5" spans="1:9" x14ac:dyDescent="0.25">
      <c r="A5" s="65" t="s">
        <v>184</v>
      </c>
      <c r="B5" s="70">
        <f>Machine!D26</f>
        <v>0.2</v>
      </c>
      <c r="C5" s="41" t="str">
        <f>IF(Machine!B5="","",Machine!B5)</f>
        <v/>
      </c>
      <c r="D5" s="62" t="str">
        <f>IF(Machine!C18="","None Set",Machine!C18)</f>
        <v>None Set</v>
      </c>
      <c r="E5" s="67" t="str">
        <f>IF(Machine!D18="","None Set",Machine!D18)</f>
        <v>None Set</v>
      </c>
      <c r="F5" s="212"/>
      <c r="G5" s="213"/>
      <c r="H5" s="213"/>
      <c r="I5" s="214"/>
    </row>
    <row r="6" spans="1:9" ht="15.75" thickBot="1" x14ac:dyDescent="0.3">
      <c r="A6" s="65" t="s">
        <v>171</v>
      </c>
      <c r="B6" s="70">
        <f>Machine!D11</f>
        <v>0.03</v>
      </c>
      <c r="C6" s="41" t="str">
        <f>IF(Machine!B6="","",Machine!B6)</f>
        <v/>
      </c>
      <c r="D6" s="62" t="str">
        <f>IF(Machine!C19="","None Set",Machine!C19)</f>
        <v>None Set</v>
      </c>
      <c r="E6" s="67" t="str">
        <f>IF(Machine!D19="","None Set",Machine!D19)</f>
        <v>None Set</v>
      </c>
      <c r="F6" s="215"/>
      <c r="G6" s="216"/>
      <c r="H6" s="216"/>
      <c r="I6" s="217"/>
    </row>
    <row r="7" spans="1:9" ht="14.45" x14ac:dyDescent="0.5">
      <c r="D7" s="61"/>
      <c r="E7" s="61"/>
      <c r="F7" s="61"/>
      <c r="G7" s="61"/>
      <c r="H7" s="61"/>
      <c r="I7" s="61"/>
    </row>
    <row r="8" spans="1:9" ht="46.7" x14ac:dyDescent="0.5">
      <c r="A8" s="60" t="str">
        <f>Machine!F2&amp;" (Snapshot for: "&amp;Machine!D12&amp;")"</f>
        <v>Member (Snapshot for 2015) (Snapshot for: 2015)</v>
      </c>
      <c r="B8" s="60" t="str">
        <f>Machine!G2</f>
        <v>2015 VoP (Projected)</v>
      </c>
      <c r="C8" s="60" t="str">
        <f>Machine!H2</f>
        <v>2015 TDS Spending (Projected)</v>
      </c>
      <c r="D8" s="60" t="str">
        <f>Machine!I2</f>
        <v>2015 AMS + De Minimis Limit (Projeceted)</v>
      </c>
      <c r="E8" s="60" t="str">
        <f>Machine!J2</f>
        <v>22%/20% of Average 2006-2016 VoP OTDS Limit (Projected)</v>
      </c>
      <c r="F8" s="60" t="str">
        <f>Machine!K2</f>
        <v>Size of Cut in Limit</v>
      </c>
      <c r="G8" s="60" t="str">
        <f>Machine!L2</f>
        <v>Water Remaining: AoA AMS + De Minimis</v>
      </c>
      <c r="H8" s="60" t="str">
        <f>Machine!M2</f>
        <v>Water Remaining: 22%/20% OTDS</v>
      </c>
      <c r="I8" s="60" t="str">
        <f>Machine!N2</f>
        <v>% of Water Cut</v>
      </c>
    </row>
    <row r="9" spans="1:9" ht="14.45" x14ac:dyDescent="0.5">
      <c r="A9" s="41" t="str">
        <f>IF(Machine!F3="","",Machine!F3)</f>
        <v>Japan</v>
      </c>
      <c r="B9" s="71">
        <f>Machine!G3/1000000</f>
        <v>75480.308487000002</v>
      </c>
      <c r="C9" s="71">
        <f>Machine!H3/1000000</f>
        <v>9588.5031921580721</v>
      </c>
      <c r="D9" s="71">
        <f>Machine!I3/1000000</f>
        <v>47845.821960653426</v>
      </c>
      <c r="E9" s="71">
        <f>Machine!J3/1000000</f>
        <v>14584.545984156548</v>
      </c>
      <c r="F9" s="71">
        <f>Machine!K3/1000000</f>
        <v>33261.27597649688</v>
      </c>
      <c r="G9" s="72">
        <f>Machine!L3/1000000</f>
        <v>38257.318768495352</v>
      </c>
      <c r="H9" s="72">
        <f>Machine!M3/1000000</f>
        <v>4996.0427919984759</v>
      </c>
      <c r="I9" s="73">
        <f>Machine!N3</f>
        <v>0.8694094894043467</v>
      </c>
    </row>
    <row r="10" spans="1:9" ht="14.45" x14ac:dyDescent="0.5">
      <c r="A10" s="41" t="str">
        <f>IF(Machine!F4="","",Machine!F4)</f>
        <v/>
      </c>
      <c r="B10" s="71" t="e">
        <f>Machine!G4/1000000</f>
        <v>#VALUE!</v>
      </c>
      <c r="C10" s="71" t="e">
        <f>Machine!H4/1000000</f>
        <v>#VALUE!</v>
      </c>
      <c r="D10" s="71" t="e">
        <f>Machine!I4/1000000</f>
        <v>#VALUE!</v>
      </c>
      <c r="E10" s="71" t="e">
        <f>Machine!J4/1000000</f>
        <v>#VALUE!</v>
      </c>
      <c r="F10" s="71" t="e">
        <f>Machine!K4/1000000</f>
        <v>#VALUE!</v>
      </c>
      <c r="G10" s="72" t="e">
        <f>Machine!L4/1000000</f>
        <v>#VALUE!</v>
      </c>
      <c r="H10" s="72" t="e">
        <f>Machine!M4/1000000</f>
        <v>#VALUE!</v>
      </c>
      <c r="I10" s="73" t="str">
        <f>Machine!N4</f>
        <v/>
      </c>
    </row>
    <row r="11" spans="1:9" ht="14.45" x14ac:dyDescent="0.5">
      <c r="A11" s="41" t="str">
        <f>IF(Machine!F5="","",Machine!F5)</f>
        <v/>
      </c>
      <c r="B11" s="71" t="e">
        <f>Machine!G5/1000000</f>
        <v>#VALUE!</v>
      </c>
      <c r="C11" s="71" t="e">
        <f>Machine!H5/1000000</f>
        <v>#VALUE!</v>
      </c>
      <c r="D11" s="71" t="e">
        <f>Machine!I5/1000000</f>
        <v>#VALUE!</v>
      </c>
      <c r="E11" s="71" t="e">
        <f>Machine!J5/1000000</f>
        <v>#VALUE!</v>
      </c>
      <c r="F11" s="71" t="e">
        <f>Machine!K5/1000000</f>
        <v>#VALUE!</v>
      </c>
      <c r="G11" s="72" t="e">
        <f>Machine!L5/1000000</f>
        <v>#VALUE!</v>
      </c>
      <c r="H11" s="72" t="e">
        <f>Machine!M5/1000000</f>
        <v>#VALUE!</v>
      </c>
      <c r="I11" s="73" t="str">
        <f>Machine!N5</f>
        <v/>
      </c>
    </row>
    <row r="12" spans="1:9" ht="14.45" x14ac:dyDescent="0.5">
      <c r="A12" s="41" t="str">
        <f>IF(Machine!F6="","",Machine!F6)</f>
        <v/>
      </c>
      <c r="B12" s="71" t="e">
        <f>Machine!G6/1000000</f>
        <v>#VALUE!</v>
      </c>
      <c r="C12" s="71" t="e">
        <f>Machine!H6/1000000</f>
        <v>#VALUE!</v>
      </c>
      <c r="D12" s="71" t="e">
        <f>Machine!I6/1000000</f>
        <v>#VALUE!</v>
      </c>
      <c r="E12" s="71" t="e">
        <f>Machine!J6/1000000</f>
        <v>#VALUE!</v>
      </c>
      <c r="F12" s="71" t="e">
        <f>Machine!K6/1000000</f>
        <v>#VALUE!</v>
      </c>
      <c r="G12" s="72" t="e">
        <f>Machine!L6/1000000</f>
        <v>#VALUE!</v>
      </c>
      <c r="H12" s="72" t="e">
        <f>Machine!M6/1000000</f>
        <v>#VALUE!</v>
      </c>
      <c r="I12" s="73" t="str">
        <f>Machine!N6</f>
        <v/>
      </c>
    </row>
  </sheetData>
  <mergeCells count="2">
    <mergeCell ref="F1:I6"/>
    <mergeCell ref="A1:E1"/>
  </mergeCells>
  <conditionalFormatting sqref="G9:G12">
    <cfRule type="expression" dxfId="11" priority="3">
      <formula>IF(G9&lt;0,TRUE,FALSE)</formula>
    </cfRule>
    <cfRule type="expression" dxfId="10" priority="4">
      <formula>IF(G9&gt;0,TRUE,FALSE)</formula>
    </cfRule>
  </conditionalFormatting>
  <conditionalFormatting sqref="H9:H12">
    <cfRule type="expression" dxfId="9" priority="1">
      <formula>IF(H9&lt;0,TRUE,FALSE)</formula>
    </cfRule>
    <cfRule type="expression" dxfId="8" priority="2">
      <formula>IF(H9&gt;0,TRUE,FALSE)</formula>
    </cfRule>
  </conditionalFormatting>
  <pageMargins left="0.7" right="0.7" top="0.75" bottom="0.75" header="0.3" footer="0.3"/>
  <pageSetup paperSize="9" orientation="landscape"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23"/>
  <sheetViews>
    <sheetView workbookViewId="0">
      <selection sqref="A1:L1"/>
    </sheetView>
  </sheetViews>
  <sheetFormatPr defaultRowHeight="15" x14ac:dyDescent="0.25"/>
  <cols>
    <col min="3" max="3" width="11" bestFit="1" customWidth="1"/>
  </cols>
  <sheetData>
    <row r="1" spans="1:15" ht="14.45" x14ac:dyDescent="0.5">
      <c r="A1" s="221" t="s">
        <v>232</v>
      </c>
      <c r="B1" s="222"/>
      <c r="C1" s="222"/>
      <c r="D1" s="222"/>
      <c r="E1" s="222"/>
      <c r="F1" s="222"/>
      <c r="G1" s="222"/>
      <c r="H1" s="222"/>
      <c r="I1" s="222"/>
      <c r="J1" s="222"/>
      <c r="K1" s="222"/>
      <c r="L1" s="223"/>
    </row>
    <row r="2" spans="1:15" ht="14.45" x14ac:dyDescent="0.5">
      <c r="A2" s="105"/>
      <c r="B2" s="102">
        <v>2006</v>
      </c>
      <c r="C2" s="102">
        <v>2007</v>
      </c>
      <c r="D2" s="102">
        <v>2008</v>
      </c>
      <c r="E2" s="102">
        <v>2009</v>
      </c>
      <c r="F2" s="102">
        <v>2010</v>
      </c>
      <c r="G2" s="102">
        <v>2011</v>
      </c>
      <c r="H2" s="102">
        <v>2012</v>
      </c>
      <c r="I2" s="102">
        <v>2013</v>
      </c>
      <c r="J2" s="102">
        <v>2014</v>
      </c>
      <c r="K2" s="102">
        <v>2015</v>
      </c>
      <c r="L2" s="103">
        <v>2016</v>
      </c>
      <c r="N2" s="110" t="s">
        <v>234</v>
      </c>
      <c r="O2" s="99">
        <f>IFERROR(IF(VLOOKUP('Custom Member Setup'!D3,Machine!B16:C19,2,FALSE)="",Machine!D10,VLOOKUP('Custom Member Setup'!D3,Machine!B16:C19,2,FALSE)),Machine!D10)</f>
        <v>0.03</v>
      </c>
    </row>
    <row r="3" spans="1:15" ht="14.65" thickBot="1" x14ac:dyDescent="0.55000000000000004">
      <c r="A3" s="109" t="s">
        <v>231</v>
      </c>
      <c r="B3" s="101">
        <f>IF('Custom Member Setup'!C11="",C3-C3*O2,'Custom Member Setup'!C11)</f>
        <v>0</v>
      </c>
      <c r="C3" s="101">
        <f>IF('Custom Member Setup'!D11="",IF(COUNTA('Custom Member Setup'!$C11:C11)=0,'Custom Member Calcs'!D3-D3*$O$2,B3+B3*$O2),'Custom Member Setup'!D11)</f>
        <v>0</v>
      </c>
      <c r="D3" s="101">
        <f>IF('Custom Member Setup'!E11="",IF(COUNTA('Custom Member Setup'!$C11:D11)=0,'Custom Member Calcs'!E3-E3*$O$2,C3+C3*$O2),'Custom Member Setup'!E11)</f>
        <v>0</v>
      </c>
      <c r="E3" s="101">
        <f>IF('Custom Member Setup'!F11="",IF(COUNTA('Custom Member Setup'!$C11:E11)=0,'Custom Member Calcs'!F3-F3*$O$2,D3+D3*$O2),'Custom Member Setup'!F11)</f>
        <v>0</v>
      </c>
      <c r="F3" s="101">
        <f>IF('Custom Member Setup'!G11="",IF(COUNTA('Custom Member Setup'!$C11:F11)=0,'Custom Member Calcs'!G3-G3*$O$2,E3+E3*$O2),'Custom Member Setup'!G11)</f>
        <v>0</v>
      </c>
      <c r="G3" s="101">
        <f>IF('Custom Member Setup'!H11="",IF(COUNTA('Custom Member Setup'!$C11:G11)=0,'Custom Member Calcs'!H3-H3*$O$2,F3+F3*$O2),'Custom Member Setup'!H11)</f>
        <v>0</v>
      </c>
      <c r="H3" s="101">
        <f>IF('Custom Member Setup'!I11="",IF(COUNTA('Custom Member Setup'!$C11:H11)=0,'Custom Member Calcs'!I3-I3*$O$2,G3+G3*$O2),'Custom Member Setup'!I11)</f>
        <v>0</v>
      </c>
      <c r="I3" s="101">
        <f>IF('Custom Member Setup'!J11="",IF(COUNTA('Custom Member Setup'!$C11:I11)=0,'Custom Member Calcs'!J3-J3*$O$2,H3+H3*$O2),'Custom Member Setup'!J11)</f>
        <v>0</v>
      </c>
      <c r="J3" s="101">
        <f>IF('Custom Member Setup'!K11="",IF(COUNTA('Custom Member Setup'!$C11:J11)=0,'Custom Member Calcs'!K3-K3*$O$2,I3+I3*$O2),'Custom Member Setup'!K11)</f>
        <v>0</v>
      </c>
      <c r="K3" s="101">
        <f>IF('Custom Member Setup'!L11="",IF(COUNTA('Custom Member Setup'!$C11:K11)=0,'Custom Member Calcs'!L3-L3*$O$2,J3+J3*$O2),'Custom Member Setup'!L11)</f>
        <v>0</v>
      </c>
      <c r="L3" s="101">
        <f>IF('Custom Member Setup'!M11="",IF(COUNTA('Custom Member Setup'!$C11:L11)=0,'Custom Member Calcs'!M3-M3*$O$2,K3+K3*$O2),'Custom Member Setup'!M11)</f>
        <v>0</v>
      </c>
    </row>
    <row r="4" spans="1:15" ht="14.65" thickBot="1" x14ac:dyDescent="0.55000000000000004">
      <c r="A4" s="100"/>
      <c r="B4" s="100"/>
      <c r="C4" s="100"/>
      <c r="D4" s="100"/>
      <c r="E4" s="100"/>
      <c r="F4" s="100"/>
      <c r="G4" s="100"/>
      <c r="H4" s="100"/>
      <c r="I4" s="100"/>
      <c r="J4" s="100"/>
      <c r="K4" s="100"/>
      <c r="L4" s="100"/>
    </row>
    <row r="5" spans="1:15" ht="14.45" x14ac:dyDescent="0.5">
      <c r="A5" s="221" t="s">
        <v>233</v>
      </c>
      <c r="B5" s="222"/>
      <c r="C5" s="222"/>
      <c r="D5" s="222"/>
      <c r="E5" s="222"/>
      <c r="F5" s="222"/>
      <c r="G5" s="222"/>
      <c r="H5" s="222"/>
      <c r="I5" s="222"/>
      <c r="J5" s="222"/>
      <c r="K5" s="222"/>
      <c r="L5" s="223"/>
    </row>
    <row r="6" spans="1:15" ht="14.45" x14ac:dyDescent="0.5">
      <c r="A6" s="105"/>
      <c r="B6" s="110">
        <v>2006</v>
      </c>
      <c r="C6" s="110">
        <v>2007</v>
      </c>
      <c r="D6" s="110">
        <v>2008</v>
      </c>
      <c r="E6" s="110">
        <v>2009</v>
      </c>
      <c r="F6" s="110">
        <v>2010</v>
      </c>
      <c r="G6" s="110">
        <v>2011</v>
      </c>
      <c r="H6" s="110">
        <v>2012</v>
      </c>
      <c r="I6" s="110">
        <v>2013</v>
      </c>
      <c r="J6" s="110">
        <v>2014</v>
      </c>
      <c r="K6" s="110">
        <v>2015</v>
      </c>
      <c r="L6" s="110">
        <v>2016</v>
      </c>
      <c r="N6" s="110" t="s">
        <v>236</v>
      </c>
      <c r="O6" s="99">
        <f>IFERROR(IF(VLOOKUP('Custom Member Setup'!D3,Machine!B16:C19,3,FALSE)="",Machine!D11,VLOOKUP('Custom Member Setup'!D3,Machine!B16:C19,3,FALSE)),Machine!D11)</f>
        <v>0.03</v>
      </c>
    </row>
    <row r="7" spans="1:15" ht="14.65" thickBot="1" x14ac:dyDescent="0.55000000000000004">
      <c r="A7" s="110" t="s">
        <v>235</v>
      </c>
      <c r="B7" s="101">
        <f>IF('Custom Member Setup'!C16="",C7-C7*$O$6,'Custom Member Setup'!C16)</f>
        <v>0</v>
      </c>
      <c r="C7" s="101">
        <f>IF('Custom Member Setup'!D16="",IF(COUNTA('Custom Member Setup'!$C16:C16)=0,'Custom Member Calcs'!D7-D7*$O$6,B7+B7*$O6),'Custom Member Setup'!D16)</f>
        <v>0</v>
      </c>
      <c r="D7" s="101">
        <f>IF('Custom Member Setup'!E16="",IF(COUNTA('Custom Member Setup'!$C16:D16)=0,'Custom Member Calcs'!E7-E7*$O$6,C7+C7*$O6),'Custom Member Setup'!E16)</f>
        <v>0</v>
      </c>
      <c r="E7" s="101">
        <f>IF('Custom Member Setup'!F16="",IF(COUNTA('Custom Member Setup'!$C16:E16)=0,'Custom Member Calcs'!F7-F7*$O$6,D7+D7*$O6),'Custom Member Setup'!F16)</f>
        <v>0</v>
      </c>
      <c r="F7" s="101">
        <f>IF('Custom Member Setup'!G16="",IF(COUNTA('Custom Member Setup'!$C16:F16)=0,'Custom Member Calcs'!G7-G7*$O$6,E7+E7*$O6),'Custom Member Setup'!G16)</f>
        <v>0</v>
      </c>
      <c r="G7" s="101">
        <f>IF('Custom Member Setup'!H16="",IF(COUNTA('Custom Member Setup'!$C16:G16)=0,'Custom Member Calcs'!H7-H7*$O$6,F7+F7*$O6),'Custom Member Setup'!H16)</f>
        <v>0</v>
      </c>
      <c r="H7" s="101">
        <f>IF('Custom Member Setup'!I16="",IF(COUNTA('Custom Member Setup'!$C16:H16)=0,'Custom Member Calcs'!I7-I7*$O$6,G7+G7*$O6),'Custom Member Setup'!I16)</f>
        <v>0</v>
      </c>
      <c r="I7" s="101">
        <f>IF('Custom Member Setup'!J16="",IF(COUNTA('Custom Member Setup'!$C16:I16)=0,'Custom Member Calcs'!J7-J7*$O$6,H7+H7*$O6),'Custom Member Setup'!J16)</f>
        <v>0</v>
      </c>
      <c r="J7" s="101">
        <f>IF('Custom Member Setup'!K16="",IF(COUNTA('Custom Member Setup'!$C16:J16)=0,'Custom Member Calcs'!K7-K7*$O$6,I7+I7*$O6),'Custom Member Setup'!K16)</f>
        <v>0</v>
      </c>
      <c r="K7" s="101">
        <f>IF('Custom Member Setup'!L16="",IF(COUNTA('Custom Member Setup'!$C16:K16)=0,'Custom Member Calcs'!L7-L7*$O$6,J7+J7*$O6),'Custom Member Setup'!L16)</f>
        <v>0</v>
      </c>
      <c r="L7" s="101">
        <f>IF('Custom Member Setup'!M16="",IF(COUNTA('Custom Member Setup'!$C16:L16)=0,'Custom Member Calcs'!M7-M7*$O$6,K7+K7*$O6),'Custom Member Setup'!M16)</f>
        <v>0</v>
      </c>
    </row>
    <row r="8" spans="1:15" ht="14.45" x14ac:dyDescent="0.5">
      <c r="A8" s="104"/>
      <c r="B8" s="106"/>
      <c r="C8" s="106"/>
      <c r="D8" s="106"/>
      <c r="E8" s="106"/>
      <c r="F8" s="106"/>
      <c r="G8" s="106"/>
      <c r="H8" s="106"/>
      <c r="I8" s="106"/>
      <c r="J8" s="106"/>
      <c r="K8" s="106"/>
      <c r="L8" s="107"/>
    </row>
    <row r="9" spans="1:15" ht="14.45" x14ac:dyDescent="0.5">
      <c r="A9" s="105"/>
      <c r="B9" s="102">
        <v>2006</v>
      </c>
      <c r="C9" s="102">
        <v>2007</v>
      </c>
      <c r="D9" s="102">
        <v>2008</v>
      </c>
      <c r="E9" s="102">
        <v>2009</v>
      </c>
      <c r="F9" s="102">
        <v>2010</v>
      </c>
      <c r="G9" s="102">
        <v>2011</v>
      </c>
      <c r="H9" s="102">
        <v>2012</v>
      </c>
      <c r="I9" s="102">
        <v>2013</v>
      </c>
      <c r="J9" s="102">
        <v>2014</v>
      </c>
      <c r="K9" s="102">
        <v>2015</v>
      </c>
      <c r="L9" s="103">
        <v>2016</v>
      </c>
    </row>
    <row r="10" spans="1:15" ht="14.65" thickBot="1" x14ac:dyDescent="0.55000000000000004">
      <c r="A10" s="108" t="s">
        <v>189</v>
      </c>
      <c r="B10" s="101">
        <f>IF('Custom Member Setup'!C20="",C10-C10*$O$6,'Custom Member Setup'!C20)</f>
        <v>0</v>
      </c>
      <c r="C10" s="101">
        <f>IF('Custom Member Setup'!D20="",IF(COUNTA('Custom Member Setup'!$C20:C20)=0,'Custom Member Calcs'!D10-D10*$O$6,B10+B10*$O6),'Custom Member Setup'!D20)</f>
        <v>0</v>
      </c>
      <c r="D10" s="101">
        <f>IF('Custom Member Setup'!E20="",IF(COUNTA('Custom Member Setup'!$C20:D20)=0,'Custom Member Calcs'!E10-E10*$O$6,C10+C10*$O6),'Custom Member Setup'!E20)</f>
        <v>0</v>
      </c>
      <c r="E10" s="101">
        <f>IF('Custom Member Setup'!F20="",IF(COUNTA('Custom Member Setup'!$C20:E20)=0,'Custom Member Calcs'!F10-F10*$O$6,D10+D10*$O6),'Custom Member Setup'!F20)</f>
        <v>0</v>
      </c>
      <c r="F10" s="101">
        <f>IF('Custom Member Setup'!G20="",IF(COUNTA('Custom Member Setup'!$C20:F20)=0,'Custom Member Calcs'!G10-G10*$O$6,E10+E10*$O6),'Custom Member Setup'!G20)</f>
        <v>0</v>
      </c>
      <c r="G10" s="101">
        <f>IF('Custom Member Setup'!H20="",IF(COUNTA('Custom Member Setup'!$C20:G20)=0,'Custom Member Calcs'!H10-H10*$O$6,F10+F10*$O6),'Custom Member Setup'!H20)</f>
        <v>0</v>
      </c>
      <c r="H10" s="101">
        <f>IF('Custom Member Setup'!I20="",IF(COUNTA('Custom Member Setup'!$C20:H20)=0,'Custom Member Calcs'!I10-I10*$O$6,G10+G10*$O6),'Custom Member Setup'!I20)</f>
        <v>0</v>
      </c>
      <c r="I10" s="101">
        <f>IF('Custom Member Setup'!J20="",IF(COUNTA('Custom Member Setup'!$C20:I20)=0,'Custom Member Calcs'!J10-J10*$O$6,H10+H10*$O6),'Custom Member Setup'!J20)</f>
        <v>0</v>
      </c>
      <c r="J10" s="101">
        <f>IF('Custom Member Setup'!K20="",IF(COUNTA('Custom Member Setup'!$C20:J20)=0,'Custom Member Calcs'!K10-K10*$O$6,I10+I10*$O6),'Custom Member Setup'!K20)</f>
        <v>0</v>
      </c>
      <c r="K10" s="101">
        <f>IF('Custom Member Setup'!L20="",IF(COUNTA('Custom Member Setup'!$C20:K20)=0,'Custom Member Calcs'!L10-L10*$O$6,J10+J10*$O6),'Custom Member Setup'!L20)</f>
        <v>0</v>
      </c>
      <c r="L10" s="101">
        <f>IF('Custom Member Setup'!M20="",IF(COUNTA('Custom Member Setup'!$C20:L20)=0,'Custom Member Calcs'!M10-M10*$O$6,K10+K10*$O6),'Custom Member Setup'!M20)</f>
        <v>0</v>
      </c>
    </row>
    <row r="11" spans="1:15" ht="14.45" x14ac:dyDescent="0.5">
      <c r="A11" s="104"/>
      <c r="B11" s="106"/>
      <c r="C11" s="106"/>
      <c r="D11" s="106"/>
      <c r="E11" s="106"/>
      <c r="F11" s="106"/>
      <c r="G11" s="106"/>
      <c r="H11" s="106"/>
      <c r="I11" s="106"/>
      <c r="J11" s="106"/>
      <c r="K11" s="106"/>
      <c r="L11" s="107"/>
    </row>
    <row r="12" spans="1:15" ht="14.45" x14ac:dyDescent="0.5">
      <c r="A12" s="105"/>
      <c r="B12" s="102">
        <v>2006</v>
      </c>
      <c r="C12" s="102">
        <v>2007</v>
      </c>
      <c r="D12" s="102">
        <v>2008</v>
      </c>
      <c r="E12" s="102">
        <v>2009</v>
      </c>
      <c r="F12" s="102">
        <v>2010</v>
      </c>
      <c r="G12" s="102">
        <v>2011</v>
      </c>
      <c r="H12" s="102">
        <v>2012</v>
      </c>
      <c r="I12" s="102">
        <v>2013</v>
      </c>
      <c r="J12" s="102">
        <v>2014</v>
      </c>
      <c r="K12" s="102">
        <v>2015</v>
      </c>
      <c r="L12" s="103">
        <v>2016</v>
      </c>
    </row>
    <row r="13" spans="1:15" ht="14.65" thickBot="1" x14ac:dyDescent="0.55000000000000004">
      <c r="A13" s="108" t="s">
        <v>190</v>
      </c>
      <c r="B13" s="101">
        <f>IF('Custom Member Setup'!C24="",C13-C13*$O$6,'Custom Member Setup'!C24)</f>
        <v>0</v>
      </c>
      <c r="C13" s="101">
        <f>IF('Custom Member Setup'!D24="",IF(COUNTA('Custom Member Setup'!$C24:C24)=0,'Custom Member Calcs'!D13-D13*$O$6,B13+B13*$O6),'Custom Member Setup'!D24)</f>
        <v>0</v>
      </c>
      <c r="D13" s="101">
        <f>IF('Custom Member Setup'!E24="",IF(COUNTA('Custom Member Setup'!$C24:D24)=0,'Custom Member Calcs'!E13-E13*$O$6,C13+C13*$O6),'Custom Member Setup'!E24)</f>
        <v>0</v>
      </c>
      <c r="E13" s="101">
        <f>IF('Custom Member Setup'!F24="",IF(COUNTA('Custom Member Setup'!$C24:E24)=0,'Custom Member Calcs'!F13-F13*$O$6,D13+D13*$O6),'Custom Member Setup'!F24)</f>
        <v>0</v>
      </c>
      <c r="F13" s="101">
        <f>IF('Custom Member Setup'!G24="",IF(COUNTA('Custom Member Setup'!$C24:F24)=0,'Custom Member Calcs'!G13-G13*$O$6,E13+E13*$O6),'Custom Member Setup'!G24)</f>
        <v>0</v>
      </c>
      <c r="G13" s="101">
        <f>IF('Custom Member Setup'!H24="",IF(COUNTA('Custom Member Setup'!$C24:G24)=0,'Custom Member Calcs'!H13-H13*$O$6,F13+F13*$O6),'Custom Member Setup'!H24)</f>
        <v>0</v>
      </c>
      <c r="H13" s="101">
        <f>IF('Custom Member Setup'!I24="",IF(COUNTA('Custom Member Setup'!$C24:H24)=0,'Custom Member Calcs'!I13-I13*$O$6,G13+G13*$O6),'Custom Member Setup'!I24)</f>
        <v>0</v>
      </c>
      <c r="I13" s="101">
        <f>IF('Custom Member Setup'!J24="",IF(COUNTA('Custom Member Setup'!$C24:I24)=0,'Custom Member Calcs'!J13-J13*$O$6,H13+H13*$O6),'Custom Member Setup'!J24)</f>
        <v>0</v>
      </c>
      <c r="J13" s="101">
        <f>IF('Custom Member Setup'!K24="",IF(COUNTA('Custom Member Setup'!$C24:J24)=0,'Custom Member Calcs'!K13-K13*$O$6,I13+I13*$O6),'Custom Member Setup'!K24)</f>
        <v>0</v>
      </c>
      <c r="K13" s="101">
        <f>IF('Custom Member Setup'!L24="",IF(COUNTA('Custom Member Setup'!$C24:K24)=0,'Custom Member Calcs'!L13-L13*$O$6,J13+J13*$O6),'Custom Member Setup'!L24)</f>
        <v>0</v>
      </c>
      <c r="L13" s="101">
        <f>IF('Custom Member Setup'!M24="",IF(COUNTA('Custom Member Setup'!$C24:L24)=0,'Custom Member Calcs'!M13-M13*$O$6,K13+K13*$O6),'Custom Member Setup'!M24)</f>
        <v>0</v>
      </c>
    </row>
    <row r="14" spans="1:15" ht="14.45" x14ac:dyDescent="0.5">
      <c r="A14" s="104"/>
      <c r="B14" s="106"/>
      <c r="C14" s="106"/>
      <c r="D14" s="106"/>
      <c r="E14" s="106"/>
      <c r="F14" s="106"/>
      <c r="G14" s="106"/>
      <c r="H14" s="106"/>
      <c r="I14" s="106"/>
      <c r="J14" s="106"/>
      <c r="K14" s="106"/>
      <c r="L14" s="107"/>
    </row>
    <row r="15" spans="1:15" ht="14.45" x14ac:dyDescent="0.5">
      <c r="A15" s="105"/>
      <c r="B15" s="102">
        <v>2006</v>
      </c>
      <c r="C15" s="102">
        <v>2007</v>
      </c>
      <c r="D15" s="102">
        <v>2008</v>
      </c>
      <c r="E15" s="102">
        <v>2009</v>
      </c>
      <c r="F15" s="102">
        <v>2010</v>
      </c>
      <c r="G15" s="102">
        <v>2011</v>
      </c>
      <c r="H15" s="102">
        <v>2012</v>
      </c>
      <c r="I15" s="102">
        <v>2013</v>
      </c>
      <c r="J15" s="102">
        <v>2014</v>
      </c>
      <c r="K15" s="102">
        <v>2015</v>
      </c>
      <c r="L15" s="103">
        <v>2016</v>
      </c>
    </row>
    <row r="16" spans="1:15" ht="14.65" thickBot="1" x14ac:dyDescent="0.55000000000000004">
      <c r="A16" s="109" t="s">
        <v>191</v>
      </c>
      <c r="B16" s="101">
        <f>IF('Custom Member Setup'!C28="",C16-C16*$O$6,'Custom Member Setup'!C28)</f>
        <v>0</v>
      </c>
      <c r="C16" s="101">
        <f>IF('Custom Member Setup'!D28="",IF(COUNTA('Custom Member Setup'!$C28:C28)=0,'Custom Member Calcs'!D16-D16*$O$6,B16+B16*$O6),'Custom Member Setup'!D28)</f>
        <v>0</v>
      </c>
      <c r="D16" s="101">
        <f>IF('Custom Member Setup'!E28="",IF(COUNTA('Custom Member Setup'!$C28:D28)=0,'Custom Member Calcs'!E16-E16*$O$6,C16+C16*$O6),'Custom Member Setup'!E28)</f>
        <v>0</v>
      </c>
      <c r="E16" s="101">
        <f>IF('Custom Member Setup'!F28="",IF(COUNTA('Custom Member Setup'!$C28:E28)=0,'Custom Member Calcs'!F16-F16*$O$6,D16+D16*$O6),'Custom Member Setup'!F28)</f>
        <v>0</v>
      </c>
      <c r="F16" s="101">
        <f>IF('Custom Member Setup'!G28="",IF(COUNTA('Custom Member Setup'!$C28:F28)=0,'Custom Member Calcs'!G16-G16*$O$6,E16+E16*$O6),'Custom Member Setup'!G28)</f>
        <v>0</v>
      </c>
      <c r="G16" s="101">
        <f>IF('Custom Member Setup'!H28="",IF(COUNTA('Custom Member Setup'!$C28:G28)=0,'Custom Member Calcs'!H16-H16*$O$6,F16+F16*$O6),'Custom Member Setup'!H28)</f>
        <v>0</v>
      </c>
      <c r="H16" s="101">
        <f>IF('Custom Member Setup'!I28="",IF(COUNTA('Custom Member Setup'!$C28:H28)=0,'Custom Member Calcs'!I16-I16*$O$6,G16+G16*$O6),'Custom Member Setup'!I28)</f>
        <v>0</v>
      </c>
      <c r="I16" s="101">
        <f>IF('Custom Member Setup'!J28="",IF(COUNTA('Custom Member Setup'!$C28:I28)=0,'Custom Member Calcs'!J16-J16*$O$6,H16+H16*$O6),'Custom Member Setup'!J28)</f>
        <v>0</v>
      </c>
      <c r="J16" s="101">
        <f>IF('Custom Member Setup'!K28="",IF(COUNTA('Custom Member Setup'!$C28:J28)=0,'Custom Member Calcs'!K16-K16*$O$6,I16+I16*$O6),'Custom Member Setup'!K28)</f>
        <v>0</v>
      </c>
      <c r="K16" s="101">
        <f>IF('Custom Member Setup'!L28="",IF(COUNTA('Custom Member Setup'!$C28:K28)=0,'Custom Member Calcs'!L16-L16*$O$6,J16+J16*$O6),'Custom Member Setup'!L28)</f>
        <v>0</v>
      </c>
      <c r="L16" s="101">
        <f>IF('Custom Member Setup'!M28="",IF(COUNTA('Custom Member Setup'!$C28:L28)=0,'Custom Member Calcs'!M16-M16*$O$6,K16+K16*$O6),'Custom Member Setup'!M28)</f>
        <v>0</v>
      </c>
    </row>
    <row r="19" spans="1:12" x14ac:dyDescent="0.25">
      <c r="A19" s="105"/>
      <c r="B19" s="110">
        <v>2006</v>
      </c>
      <c r="C19" s="110">
        <v>2007</v>
      </c>
      <c r="D19" s="110">
        <v>2008</v>
      </c>
      <c r="E19" s="110">
        <v>2009</v>
      </c>
      <c r="F19" s="110">
        <v>2010</v>
      </c>
      <c r="G19" s="110">
        <v>2011</v>
      </c>
      <c r="H19" s="110">
        <v>2012</v>
      </c>
      <c r="I19" s="110">
        <v>2013</v>
      </c>
      <c r="J19" s="110">
        <v>2014</v>
      </c>
      <c r="K19" s="110">
        <v>2015</v>
      </c>
      <c r="L19" s="110">
        <v>2016</v>
      </c>
    </row>
    <row r="20" spans="1:12" x14ac:dyDescent="0.25">
      <c r="A20" t="s">
        <v>237</v>
      </c>
      <c r="B20">
        <f>SUM(B7,B10)</f>
        <v>0</v>
      </c>
      <c r="C20">
        <f t="shared" ref="C20:L20" si="0">SUM(C7,C10)</f>
        <v>0</v>
      </c>
      <c r="D20">
        <f t="shared" si="0"/>
        <v>0</v>
      </c>
      <c r="E20">
        <f t="shared" si="0"/>
        <v>0</v>
      </c>
      <c r="F20">
        <f t="shared" si="0"/>
        <v>0</v>
      </c>
      <c r="G20">
        <f t="shared" si="0"/>
        <v>0</v>
      </c>
      <c r="H20">
        <f t="shared" si="0"/>
        <v>0</v>
      </c>
      <c r="I20">
        <f t="shared" si="0"/>
        <v>0</v>
      </c>
      <c r="J20">
        <f t="shared" si="0"/>
        <v>0</v>
      </c>
      <c r="K20">
        <f t="shared" si="0"/>
        <v>0</v>
      </c>
      <c r="L20">
        <f t="shared" si="0"/>
        <v>0</v>
      </c>
    </row>
    <row r="22" spans="1:12" x14ac:dyDescent="0.25">
      <c r="A22" s="105"/>
      <c r="B22" s="110">
        <v>2006</v>
      </c>
      <c r="C22" s="110">
        <v>2007</v>
      </c>
      <c r="D22" s="110">
        <v>2008</v>
      </c>
      <c r="E22" s="110">
        <v>2009</v>
      </c>
      <c r="F22" s="110">
        <v>2010</v>
      </c>
      <c r="G22" s="110">
        <v>2011</v>
      </c>
      <c r="H22" s="110">
        <v>2012</v>
      </c>
      <c r="I22" s="110">
        <v>2013</v>
      </c>
      <c r="J22" s="110">
        <v>2014</v>
      </c>
      <c r="K22" s="110">
        <v>2015</v>
      </c>
      <c r="L22" s="110">
        <v>2016</v>
      </c>
    </row>
    <row r="23" spans="1:12" x14ac:dyDescent="0.25">
      <c r="A23" t="s">
        <v>238</v>
      </c>
      <c r="B23">
        <f>SUM(B7,B10,B13,B16)</f>
        <v>0</v>
      </c>
      <c r="C23">
        <f t="shared" ref="C23:L23" si="1">SUM(C7,C10,C13,C16)</f>
        <v>0</v>
      </c>
      <c r="D23">
        <f t="shared" si="1"/>
        <v>0</v>
      </c>
      <c r="E23">
        <f t="shared" si="1"/>
        <v>0</v>
      </c>
      <c r="F23">
        <f t="shared" si="1"/>
        <v>0</v>
      </c>
      <c r="G23">
        <f t="shared" si="1"/>
        <v>0</v>
      </c>
      <c r="H23">
        <f t="shared" si="1"/>
        <v>0</v>
      </c>
      <c r="I23">
        <f t="shared" si="1"/>
        <v>0</v>
      </c>
      <c r="J23">
        <f t="shared" si="1"/>
        <v>0</v>
      </c>
      <c r="K23">
        <f t="shared" si="1"/>
        <v>0</v>
      </c>
      <c r="L23">
        <f t="shared" si="1"/>
        <v>0</v>
      </c>
    </row>
  </sheetData>
  <mergeCells count="2">
    <mergeCell ref="A1:L1"/>
    <mergeCell ref="A5:L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L647"/>
  <sheetViews>
    <sheetView tabSelected="1" zoomScale="85" zoomScaleNormal="85" workbookViewId="0">
      <selection activeCell="AA19" sqref="AA19"/>
    </sheetView>
  </sheetViews>
  <sheetFormatPr defaultRowHeight="15" x14ac:dyDescent="0.25"/>
  <cols>
    <col min="1" max="1" width="3.28515625" style="58" customWidth="1"/>
    <col min="5" max="5" width="10" customWidth="1"/>
    <col min="11" max="11" width="10.85546875" customWidth="1"/>
    <col min="12" max="12" width="11" customWidth="1"/>
    <col min="13" max="13" width="9.140625" style="58" customWidth="1"/>
    <col min="14" max="15" width="9.140625" style="58"/>
    <col min="16" max="16" width="9.140625" style="58" customWidth="1"/>
    <col min="17" max="19" width="9.140625" style="58"/>
    <col min="20" max="20" width="9.28515625" style="58" customWidth="1"/>
    <col min="21" max="90" width="9.140625" style="58"/>
  </cols>
  <sheetData>
    <row r="1" spans="1:90" s="58" customFormat="1" x14ac:dyDescent="0.25"/>
    <row r="2" spans="1:90" ht="21.75" thickBot="1" x14ac:dyDescent="0.3">
      <c r="B2" s="254" t="s">
        <v>458</v>
      </c>
      <c r="C2" s="254"/>
      <c r="D2" s="254"/>
      <c r="E2" s="254"/>
      <c r="F2" s="254"/>
      <c r="G2" s="254"/>
      <c r="H2" s="254"/>
      <c r="I2" s="254"/>
      <c r="J2" s="254"/>
      <c r="K2" s="230"/>
      <c r="L2" s="230"/>
    </row>
    <row r="3" spans="1:90" x14ac:dyDescent="0.25">
      <c r="B3" s="255" t="s">
        <v>188</v>
      </c>
      <c r="C3" s="256"/>
      <c r="D3" s="256"/>
      <c r="E3" s="256"/>
      <c r="F3" s="256"/>
      <c r="G3" s="256"/>
      <c r="H3" s="257" t="s">
        <v>189</v>
      </c>
      <c r="I3" s="257"/>
      <c r="J3" s="258"/>
      <c r="K3" s="253" t="s">
        <v>449</v>
      </c>
      <c r="L3" s="238"/>
    </row>
    <row r="4" spans="1:90" x14ac:dyDescent="0.25">
      <c r="B4" s="259" t="s">
        <v>429</v>
      </c>
      <c r="C4" s="239"/>
      <c r="D4" s="239"/>
      <c r="E4" s="239" t="s">
        <v>430</v>
      </c>
      <c r="F4" s="239"/>
      <c r="G4" s="239"/>
      <c r="H4" s="238"/>
      <c r="I4" s="238"/>
      <c r="J4" s="260"/>
      <c r="K4" s="253"/>
      <c r="L4" s="238"/>
    </row>
    <row r="5" spans="1:90" x14ac:dyDescent="0.25">
      <c r="B5" s="261" t="s">
        <v>434</v>
      </c>
      <c r="C5" s="163" t="s">
        <v>433</v>
      </c>
      <c r="D5" s="163" t="s">
        <v>432</v>
      </c>
      <c r="E5" s="163" t="s">
        <v>434</v>
      </c>
      <c r="F5" s="163" t="s">
        <v>433</v>
      </c>
      <c r="G5" s="163" t="s">
        <v>432</v>
      </c>
      <c r="H5" s="163" t="s">
        <v>435</v>
      </c>
      <c r="I5" s="163" t="s">
        <v>433</v>
      </c>
      <c r="J5" s="262" t="s">
        <v>432</v>
      </c>
      <c r="K5" s="185" t="s">
        <v>450</v>
      </c>
      <c r="L5" s="163" t="s">
        <v>472</v>
      </c>
      <c r="O5" s="167"/>
    </row>
    <row r="6" spans="1:90" ht="16.5" customHeight="1" thickBot="1" x14ac:dyDescent="0.3">
      <c r="B6" s="263" t="b">
        <v>1</v>
      </c>
      <c r="C6" s="264" t="b">
        <v>0</v>
      </c>
      <c r="D6" s="265" t="s">
        <v>58</v>
      </c>
      <c r="E6" s="266" t="b">
        <v>1</v>
      </c>
      <c r="F6" s="264" t="b">
        <v>0</v>
      </c>
      <c r="G6" s="265" t="s">
        <v>58</v>
      </c>
      <c r="H6" s="264" t="b">
        <v>1</v>
      </c>
      <c r="I6" s="264" t="b">
        <v>0</v>
      </c>
      <c r="J6" s="267" t="s">
        <v>58</v>
      </c>
      <c r="K6" s="186" t="b">
        <v>0</v>
      </c>
      <c r="L6" s="165" t="s">
        <v>474</v>
      </c>
      <c r="O6" s="167"/>
    </row>
    <row r="7" spans="1:90" s="168" customFormat="1" ht="16.5" customHeight="1" x14ac:dyDescent="0.25">
      <c r="A7" s="58"/>
      <c r="B7" s="268" t="s">
        <v>491</v>
      </c>
      <c r="C7" s="269"/>
      <c r="D7" s="269"/>
      <c r="E7" s="163" t="s">
        <v>492</v>
      </c>
      <c r="F7" s="268" t="s">
        <v>493</v>
      </c>
      <c r="G7" s="269"/>
      <c r="H7" s="178"/>
      <c r="I7" s="178"/>
      <c r="J7" s="179"/>
      <c r="K7" s="182" t="s">
        <v>432</v>
      </c>
      <c r="L7" s="165" t="s">
        <v>58</v>
      </c>
      <c r="M7" s="58"/>
      <c r="N7" s="58"/>
      <c r="O7" s="167"/>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row>
    <row r="8" spans="1:90" s="58" customFormat="1" ht="18" customHeight="1" thickBot="1" x14ac:dyDescent="0.3">
      <c r="B8" s="227" t="b">
        <v>0</v>
      </c>
      <c r="C8" s="228"/>
      <c r="D8" s="229"/>
      <c r="E8" s="265" t="s">
        <v>58</v>
      </c>
      <c r="F8" s="271" t="s">
        <v>499</v>
      </c>
      <c r="G8" s="270" t="s">
        <v>500</v>
      </c>
      <c r="H8" s="166"/>
      <c r="I8" s="166"/>
      <c r="J8" s="182" t="s">
        <v>478</v>
      </c>
      <c r="K8" s="183" t="s">
        <v>499</v>
      </c>
      <c r="L8" s="126" t="s">
        <v>500</v>
      </c>
      <c r="O8" s="167"/>
    </row>
    <row r="9" spans="1:90" ht="21" x14ac:dyDescent="0.25">
      <c r="B9" s="230" t="s">
        <v>459</v>
      </c>
      <c r="C9" s="230"/>
      <c r="D9" s="230"/>
      <c r="E9" s="230"/>
      <c r="F9" s="230"/>
      <c r="G9" s="230"/>
      <c r="H9" s="230"/>
      <c r="I9" s="230"/>
      <c r="J9" s="230"/>
      <c r="K9" s="230"/>
      <c r="L9" s="230"/>
      <c r="O9" s="167"/>
    </row>
    <row r="10" spans="1:90" x14ac:dyDescent="0.25">
      <c r="B10" s="237" t="s">
        <v>188</v>
      </c>
      <c r="C10" s="237"/>
      <c r="D10" s="237"/>
      <c r="E10" s="237"/>
      <c r="F10" s="237"/>
      <c r="G10" s="237"/>
      <c r="H10" s="238" t="s">
        <v>189</v>
      </c>
      <c r="I10" s="238"/>
      <c r="J10" s="238"/>
      <c r="K10" s="238" t="s">
        <v>449</v>
      </c>
      <c r="L10" s="238"/>
      <c r="O10" s="167"/>
    </row>
    <row r="11" spans="1:90" x14ac:dyDescent="0.25">
      <c r="B11" s="239" t="s">
        <v>429</v>
      </c>
      <c r="C11" s="239"/>
      <c r="D11" s="239"/>
      <c r="E11" s="239" t="s">
        <v>430</v>
      </c>
      <c r="F11" s="239"/>
      <c r="G11" s="239"/>
      <c r="H11" s="238"/>
      <c r="I11" s="238"/>
      <c r="J11" s="238"/>
      <c r="K11" s="238"/>
      <c r="L11" s="238"/>
      <c r="O11" s="167"/>
    </row>
    <row r="12" spans="1:90" x14ac:dyDescent="0.25">
      <c r="B12" s="163" t="s">
        <v>434</v>
      </c>
      <c r="C12" s="163" t="s">
        <v>433</v>
      </c>
      <c r="D12" s="163" t="s">
        <v>432</v>
      </c>
      <c r="E12" s="163" t="s">
        <v>434</v>
      </c>
      <c r="F12" s="163" t="s">
        <v>433</v>
      </c>
      <c r="G12" s="163" t="s">
        <v>432</v>
      </c>
      <c r="H12" s="163" t="s">
        <v>435</v>
      </c>
      <c r="I12" s="163" t="s">
        <v>433</v>
      </c>
      <c r="J12" s="163" t="s">
        <v>432</v>
      </c>
      <c r="K12" s="163" t="s">
        <v>450</v>
      </c>
      <c r="L12" s="163" t="s">
        <v>472</v>
      </c>
      <c r="O12" s="167"/>
    </row>
    <row r="13" spans="1:90" ht="17.25" customHeight="1" thickBot="1" x14ac:dyDescent="0.3">
      <c r="B13" s="181" t="b">
        <v>1</v>
      </c>
      <c r="C13" s="181" t="b">
        <v>0</v>
      </c>
      <c r="D13" s="165" t="s">
        <v>58</v>
      </c>
      <c r="E13" s="181" t="b">
        <v>1</v>
      </c>
      <c r="F13" s="181" t="b">
        <v>0</v>
      </c>
      <c r="G13" s="165" t="s">
        <v>58</v>
      </c>
      <c r="H13" s="181" t="b">
        <v>1</v>
      </c>
      <c r="I13" s="181" t="b">
        <v>0</v>
      </c>
      <c r="J13" s="165"/>
      <c r="K13" s="181" t="b">
        <v>0</v>
      </c>
      <c r="L13" s="165" t="s">
        <v>474</v>
      </c>
      <c r="O13" s="167"/>
    </row>
    <row r="14" spans="1:90" s="168" customFormat="1" ht="18" customHeight="1" x14ac:dyDescent="0.25">
      <c r="A14" s="58"/>
      <c r="B14" s="268" t="s">
        <v>491</v>
      </c>
      <c r="C14" s="269"/>
      <c r="D14" s="269"/>
      <c r="E14" s="163" t="s">
        <v>492</v>
      </c>
      <c r="F14" s="268" t="s">
        <v>493</v>
      </c>
      <c r="G14" s="269"/>
      <c r="H14" s="178"/>
      <c r="I14" s="178"/>
      <c r="J14" s="179"/>
      <c r="K14" s="163" t="s">
        <v>432</v>
      </c>
      <c r="L14" s="165" t="s">
        <v>58</v>
      </c>
      <c r="M14" s="58"/>
      <c r="N14" s="58"/>
      <c r="O14" s="167"/>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row>
    <row r="15" spans="1:90" s="58" customFormat="1" ht="18.75" customHeight="1" thickBot="1" x14ac:dyDescent="0.3">
      <c r="B15" s="227" t="b">
        <v>0</v>
      </c>
      <c r="C15" s="228"/>
      <c r="D15" s="229"/>
      <c r="E15" s="265" t="s">
        <v>58</v>
      </c>
      <c r="F15" s="265" t="s">
        <v>499</v>
      </c>
      <c r="G15" s="265" t="s">
        <v>500</v>
      </c>
      <c r="J15" s="163" t="s">
        <v>478</v>
      </c>
      <c r="K15" s="180" t="s">
        <v>499</v>
      </c>
      <c r="L15" s="126" t="s">
        <v>500</v>
      </c>
      <c r="O15" s="167"/>
    </row>
    <row r="16" spans="1:90" ht="21" x14ac:dyDescent="0.25">
      <c r="B16" s="230" t="s">
        <v>454</v>
      </c>
      <c r="C16" s="230"/>
      <c r="D16" s="230"/>
      <c r="E16" s="230"/>
      <c r="F16" s="230"/>
      <c r="G16" s="230"/>
      <c r="H16" s="230"/>
      <c r="I16" s="230"/>
      <c r="J16" s="230"/>
      <c r="K16" s="230"/>
      <c r="L16" s="230"/>
      <c r="O16" s="167"/>
    </row>
    <row r="17" spans="2:12" x14ac:dyDescent="0.25">
      <c r="B17" s="231" t="s">
        <v>455</v>
      </c>
      <c r="C17" s="232"/>
      <c r="D17" s="232"/>
      <c r="E17" s="232"/>
      <c r="F17" s="233"/>
      <c r="G17" s="231" t="s">
        <v>190</v>
      </c>
      <c r="H17" s="232"/>
      <c r="I17" s="233"/>
      <c r="J17" s="231" t="s">
        <v>456</v>
      </c>
      <c r="K17" s="232"/>
      <c r="L17" s="233"/>
    </row>
    <row r="18" spans="2:12" x14ac:dyDescent="0.25">
      <c r="B18" s="234"/>
      <c r="C18" s="235"/>
      <c r="D18" s="235"/>
      <c r="E18" s="235"/>
      <c r="F18" s="236"/>
      <c r="G18" s="234"/>
      <c r="H18" s="235"/>
      <c r="I18" s="236"/>
      <c r="J18" s="234"/>
      <c r="K18" s="235"/>
      <c r="L18" s="236"/>
    </row>
    <row r="19" spans="2:12" x14ac:dyDescent="0.25">
      <c r="B19" s="224" t="s">
        <v>420</v>
      </c>
      <c r="C19" s="225"/>
      <c r="D19" s="225"/>
      <c r="E19" s="225"/>
      <c r="F19" s="226"/>
      <c r="G19" s="224" t="s">
        <v>420</v>
      </c>
      <c r="H19" s="225"/>
      <c r="I19" s="226"/>
      <c r="J19" s="224" t="s">
        <v>420</v>
      </c>
      <c r="K19" s="225"/>
      <c r="L19" s="226"/>
    </row>
    <row r="20" spans="2:12" x14ac:dyDescent="0.25">
      <c r="B20" s="227" t="b">
        <v>1</v>
      </c>
      <c r="C20" s="228"/>
      <c r="D20" s="228"/>
      <c r="E20" s="228"/>
      <c r="F20" s="229"/>
      <c r="G20" s="227" t="b">
        <v>1</v>
      </c>
      <c r="H20" s="228"/>
      <c r="I20" s="229"/>
      <c r="J20" s="227" t="b">
        <v>0</v>
      </c>
      <c r="K20" s="228"/>
      <c r="L20" s="229"/>
    </row>
    <row r="21" spans="2:12" s="58" customFormat="1" x14ac:dyDescent="0.25"/>
    <row r="22" spans="2:12" s="58" customFormat="1" x14ac:dyDescent="0.25"/>
    <row r="23" spans="2:12" s="58" customFormat="1" x14ac:dyDescent="0.25"/>
    <row r="24" spans="2:12" s="58" customFormat="1" x14ac:dyDescent="0.25"/>
    <row r="25" spans="2:12" s="58" customFormat="1" x14ac:dyDescent="0.25"/>
    <row r="26" spans="2:12" s="58" customFormat="1" x14ac:dyDescent="0.25"/>
    <row r="27" spans="2:12" s="58" customFormat="1" x14ac:dyDescent="0.25"/>
    <row r="28" spans="2:12" s="58" customFormat="1" x14ac:dyDescent="0.25"/>
    <row r="29" spans="2:12" s="58" customFormat="1" x14ac:dyDescent="0.25"/>
    <row r="30" spans="2:12" s="58" customFormat="1" x14ac:dyDescent="0.25"/>
    <row r="31" spans="2:12" s="58" customFormat="1" x14ac:dyDescent="0.25"/>
    <row r="32" spans="2:12" s="58" customFormat="1" x14ac:dyDescent="0.25"/>
    <row r="33" s="58" customFormat="1" x14ac:dyDescent="0.25"/>
    <row r="34" s="58" customFormat="1" x14ac:dyDescent="0.25"/>
    <row r="35" s="58" customFormat="1" x14ac:dyDescent="0.25"/>
    <row r="36" s="58" customFormat="1" x14ac:dyDescent="0.25"/>
    <row r="37" s="58" customFormat="1" x14ac:dyDescent="0.25"/>
    <row r="38" s="58" customFormat="1" x14ac:dyDescent="0.25"/>
    <row r="39" s="58" customFormat="1" x14ac:dyDescent="0.25"/>
    <row r="40" s="58" customFormat="1" x14ac:dyDescent="0.25"/>
    <row r="41" s="58" customFormat="1" x14ac:dyDescent="0.25"/>
    <row r="42" s="58" customFormat="1" x14ac:dyDescent="0.25"/>
    <row r="43" s="58" customFormat="1" x14ac:dyDescent="0.25"/>
    <row r="44" s="58" customFormat="1" x14ac:dyDescent="0.25"/>
    <row r="45" s="58" customFormat="1" x14ac:dyDescent="0.25"/>
    <row r="46" s="58" customFormat="1" x14ac:dyDescent="0.25"/>
    <row r="47" s="58" customFormat="1" x14ac:dyDescent="0.25"/>
    <row r="48" s="58" customFormat="1" x14ac:dyDescent="0.25"/>
    <row r="49" s="58" customFormat="1" x14ac:dyDescent="0.25"/>
    <row r="50" s="58" customFormat="1" x14ac:dyDescent="0.25"/>
    <row r="51" s="58" customFormat="1" x14ac:dyDescent="0.25"/>
    <row r="52" s="58" customFormat="1" x14ac:dyDescent="0.25"/>
    <row r="53" s="58" customFormat="1" x14ac:dyDescent="0.25"/>
    <row r="54" s="58" customFormat="1" x14ac:dyDescent="0.25"/>
    <row r="55" s="58" customFormat="1" x14ac:dyDescent="0.25"/>
    <row r="56" s="58" customFormat="1" x14ac:dyDescent="0.25"/>
    <row r="57" s="58" customFormat="1" x14ac:dyDescent="0.25"/>
    <row r="58" s="58" customFormat="1" x14ac:dyDescent="0.25"/>
    <row r="59" s="58" customFormat="1" x14ac:dyDescent="0.25"/>
    <row r="60" s="58" customFormat="1" x14ac:dyDescent="0.25"/>
    <row r="61" s="58" customFormat="1" x14ac:dyDescent="0.25"/>
    <row r="62" s="58" customFormat="1" x14ac:dyDescent="0.25"/>
    <row r="63" s="58" customFormat="1" x14ac:dyDescent="0.25"/>
    <row r="64" s="58" customFormat="1" x14ac:dyDescent="0.25"/>
    <row r="65" s="58" customFormat="1" x14ac:dyDescent="0.25"/>
    <row r="66" s="58" customFormat="1" x14ac:dyDescent="0.25"/>
    <row r="67" s="58" customFormat="1" x14ac:dyDescent="0.25"/>
    <row r="68" s="58" customFormat="1" x14ac:dyDescent="0.25"/>
    <row r="69" s="58" customFormat="1" x14ac:dyDescent="0.25"/>
    <row r="70" s="58" customFormat="1" x14ac:dyDescent="0.25"/>
    <row r="71" s="58" customFormat="1" x14ac:dyDescent="0.25"/>
    <row r="72" s="58" customFormat="1" x14ac:dyDescent="0.25"/>
    <row r="73" s="58" customFormat="1" x14ac:dyDescent="0.25"/>
    <row r="74" s="58" customFormat="1" x14ac:dyDescent="0.25"/>
    <row r="75" s="58" customFormat="1" x14ac:dyDescent="0.25"/>
    <row r="76" s="58" customFormat="1" x14ac:dyDescent="0.25"/>
    <row r="77" s="58" customFormat="1" x14ac:dyDescent="0.25"/>
    <row r="78" s="58" customFormat="1" x14ac:dyDescent="0.25"/>
    <row r="79" s="58" customFormat="1" x14ac:dyDescent="0.25"/>
    <row r="80" s="58" customFormat="1" x14ac:dyDescent="0.25"/>
    <row r="81" s="58" customFormat="1" x14ac:dyDescent="0.25"/>
    <row r="82" s="58" customFormat="1" x14ac:dyDescent="0.25"/>
    <row r="83" s="58" customFormat="1" x14ac:dyDescent="0.25"/>
    <row r="84" s="58" customFormat="1" x14ac:dyDescent="0.25"/>
    <row r="85" s="58" customFormat="1" x14ac:dyDescent="0.25"/>
    <row r="86" s="58" customFormat="1" x14ac:dyDescent="0.25"/>
    <row r="87" s="58" customFormat="1" x14ac:dyDescent="0.25"/>
    <row r="88" s="58" customFormat="1" x14ac:dyDescent="0.25"/>
    <row r="89" s="58" customFormat="1" x14ac:dyDescent="0.25"/>
    <row r="90" s="58" customFormat="1" x14ac:dyDescent="0.25"/>
    <row r="91" s="58" customFormat="1" x14ac:dyDescent="0.25"/>
    <row r="92" s="58" customFormat="1" x14ac:dyDescent="0.25"/>
    <row r="93" s="58" customFormat="1" x14ac:dyDescent="0.25"/>
    <row r="94" s="58" customFormat="1" x14ac:dyDescent="0.25"/>
    <row r="95" s="58" customFormat="1" x14ac:dyDescent="0.25"/>
    <row r="96" s="58" customFormat="1" x14ac:dyDescent="0.25"/>
    <row r="97" s="58" customFormat="1" x14ac:dyDescent="0.25"/>
    <row r="98" s="58" customFormat="1" x14ac:dyDescent="0.25"/>
    <row r="99" s="58" customFormat="1" x14ac:dyDescent="0.25"/>
    <row r="100" s="58" customFormat="1" x14ac:dyDescent="0.25"/>
    <row r="101" s="58" customFormat="1" x14ac:dyDescent="0.25"/>
    <row r="102" s="58" customFormat="1" x14ac:dyDescent="0.25"/>
    <row r="103" s="58" customFormat="1" x14ac:dyDescent="0.25"/>
    <row r="104" s="58" customFormat="1" x14ac:dyDescent="0.25"/>
    <row r="105" s="58" customFormat="1" x14ac:dyDescent="0.25"/>
    <row r="106" s="58" customFormat="1" x14ac:dyDescent="0.25"/>
    <row r="107" s="58" customFormat="1" x14ac:dyDescent="0.25"/>
    <row r="108" s="58" customFormat="1" x14ac:dyDescent="0.25"/>
    <row r="109" s="58" customFormat="1" x14ac:dyDescent="0.25"/>
    <row r="110" s="58" customFormat="1" x14ac:dyDescent="0.25"/>
    <row r="111" s="58" customFormat="1" x14ac:dyDescent="0.25"/>
    <row r="112" s="58" customFormat="1" x14ac:dyDescent="0.25"/>
    <row r="113" s="58" customFormat="1" x14ac:dyDescent="0.25"/>
    <row r="114" s="58" customFormat="1" x14ac:dyDescent="0.25"/>
    <row r="115" s="58" customFormat="1" x14ac:dyDescent="0.25"/>
    <row r="116" s="58" customFormat="1" x14ac:dyDescent="0.25"/>
    <row r="117" s="58" customFormat="1" x14ac:dyDescent="0.25"/>
    <row r="118" s="58" customFormat="1" x14ac:dyDescent="0.25"/>
    <row r="119" s="58" customFormat="1" x14ac:dyDescent="0.25"/>
    <row r="120" s="58" customFormat="1" x14ac:dyDescent="0.25"/>
    <row r="121" s="58" customFormat="1" x14ac:dyDescent="0.25"/>
    <row r="122" s="58" customFormat="1" x14ac:dyDescent="0.25"/>
    <row r="123" s="58" customFormat="1" x14ac:dyDescent="0.25"/>
    <row r="124" s="58" customFormat="1" x14ac:dyDescent="0.25"/>
    <row r="125" s="58" customFormat="1" x14ac:dyDescent="0.25"/>
    <row r="126" s="58" customFormat="1" x14ac:dyDescent="0.25"/>
    <row r="127" s="58" customFormat="1" x14ac:dyDescent="0.25"/>
    <row r="128" s="58" customFormat="1" x14ac:dyDescent="0.25"/>
    <row r="129" s="58" customFormat="1" x14ac:dyDescent="0.25"/>
    <row r="130" s="58" customFormat="1" x14ac:dyDescent="0.25"/>
    <row r="131" s="58" customFormat="1" x14ac:dyDescent="0.25"/>
    <row r="132" s="58" customFormat="1" x14ac:dyDescent="0.25"/>
    <row r="133" s="58" customFormat="1" x14ac:dyDescent="0.25"/>
    <row r="134" s="58" customFormat="1" x14ac:dyDescent="0.25"/>
    <row r="135" s="58" customFormat="1" x14ac:dyDescent="0.25"/>
    <row r="136" s="58" customFormat="1" x14ac:dyDescent="0.25"/>
    <row r="137" s="58" customFormat="1" x14ac:dyDescent="0.25"/>
    <row r="138" s="58" customFormat="1" x14ac:dyDescent="0.25"/>
    <row r="139" s="58" customFormat="1" x14ac:dyDescent="0.25"/>
    <row r="140" s="58" customFormat="1" x14ac:dyDescent="0.25"/>
    <row r="141" s="58" customFormat="1" x14ac:dyDescent="0.25"/>
    <row r="142" s="58" customFormat="1" x14ac:dyDescent="0.25"/>
    <row r="143" s="58" customFormat="1" x14ac:dyDescent="0.25"/>
    <row r="144" s="58" customFormat="1" x14ac:dyDescent="0.25"/>
    <row r="145" s="58" customFormat="1" x14ac:dyDescent="0.25"/>
    <row r="146" s="58" customFormat="1" x14ac:dyDescent="0.25"/>
    <row r="147" s="58" customFormat="1" x14ac:dyDescent="0.25"/>
    <row r="148" s="58" customFormat="1" x14ac:dyDescent="0.25"/>
    <row r="149" s="58" customFormat="1" x14ac:dyDescent="0.25"/>
    <row r="150" s="58" customFormat="1" x14ac:dyDescent="0.25"/>
    <row r="151" s="58" customFormat="1" x14ac:dyDescent="0.25"/>
    <row r="152" s="58" customFormat="1" x14ac:dyDescent="0.25"/>
    <row r="153" s="58" customFormat="1" x14ac:dyDescent="0.25"/>
    <row r="154" s="58" customFormat="1" x14ac:dyDescent="0.25"/>
    <row r="155" s="58" customFormat="1" x14ac:dyDescent="0.25"/>
    <row r="156" s="58" customFormat="1" x14ac:dyDescent="0.25"/>
    <row r="157" s="58" customFormat="1" x14ac:dyDescent="0.25"/>
    <row r="158" s="58" customFormat="1" x14ac:dyDescent="0.25"/>
    <row r="159" s="58" customFormat="1" x14ac:dyDescent="0.25"/>
    <row r="160" s="58" customFormat="1" x14ac:dyDescent="0.25"/>
    <row r="161" s="58" customFormat="1" x14ac:dyDescent="0.25"/>
    <row r="162" s="58" customFormat="1" x14ac:dyDescent="0.25"/>
    <row r="163" s="58" customFormat="1" x14ac:dyDescent="0.25"/>
    <row r="164" s="58" customFormat="1" x14ac:dyDescent="0.25"/>
    <row r="165" s="58" customFormat="1" x14ac:dyDescent="0.25"/>
    <row r="166" s="58" customFormat="1" x14ac:dyDescent="0.25"/>
    <row r="167" s="58" customFormat="1" x14ac:dyDescent="0.25"/>
    <row r="168" s="58" customFormat="1" x14ac:dyDescent="0.25"/>
    <row r="169" s="58" customFormat="1" x14ac:dyDescent="0.25"/>
    <row r="170" s="58" customFormat="1" x14ac:dyDescent="0.25"/>
    <row r="171" s="58" customFormat="1" x14ac:dyDescent="0.25"/>
    <row r="172" s="58" customFormat="1" x14ac:dyDescent="0.25"/>
    <row r="173" s="58" customFormat="1" x14ac:dyDescent="0.25"/>
    <row r="174" s="58" customFormat="1" x14ac:dyDescent="0.25"/>
    <row r="175" s="58" customFormat="1" x14ac:dyDescent="0.25"/>
    <row r="176" s="58" customFormat="1" x14ac:dyDescent="0.25"/>
    <row r="177" s="58" customFormat="1" x14ac:dyDescent="0.25"/>
    <row r="178" s="58" customFormat="1" x14ac:dyDescent="0.25"/>
    <row r="179" s="58" customFormat="1" x14ac:dyDescent="0.25"/>
    <row r="180" s="58" customFormat="1" x14ac:dyDescent="0.25"/>
    <row r="181" s="58" customFormat="1" x14ac:dyDescent="0.25"/>
    <row r="182" s="58" customFormat="1" x14ac:dyDescent="0.25"/>
    <row r="183" s="58" customFormat="1" x14ac:dyDescent="0.25"/>
    <row r="184" s="58" customFormat="1" x14ac:dyDescent="0.25"/>
    <row r="185" s="58" customFormat="1" x14ac:dyDescent="0.25"/>
    <row r="186" s="58" customFormat="1" x14ac:dyDescent="0.25"/>
    <row r="187" s="58" customFormat="1" x14ac:dyDescent="0.25"/>
    <row r="188" s="58" customFormat="1" x14ac:dyDescent="0.25"/>
    <row r="189" s="58" customFormat="1" x14ac:dyDescent="0.25"/>
    <row r="190" s="58" customFormat="1" x14ac:dyDescent="0.25"/>
    <row r="191" s="58" customFormat="1" x14ac:dyDescent="0.25"/>
    <row r="192" s="58" customFormat="1" x14ac:dyDescent="0.25"/>
    <row r="193" s="58" customFormat="1" x14ac:dyDescent="0.25"/>
    <row r="194" s="58" customFormat="1" x14ac:dyDescent="0.25"/>
    <row r="195" s="58" customFormat="1" x14ac:dyDescent="0.25"/>
    <row r="196" s="58" customFormat="1" x14ac:dyDescent="0.25"/>
    <row r="197" s="58" customFormat="1" x14ac:dyDescent="0.25"/>
    <row r="198" s="58" customFormat="1" x14ac:dyDescent="0.25"/>
    <row r="199" s="58" customFormat="1" x14ac:dyDescent="0.25"/>
    <row r="200" s="58" customFormat="1" x14ac:dyDescent="0.25"/>
    <row r="201" s="58" customFormat="1" x14ac:dyDescent="0.25"/>
    <row r="202" s="58" customFormat="1" x14ac:dyDescent="0.25"/>
    <row r="203" s="58" customFormat="1" x14ac:dyDescent="0.25"/>
    <row r="204" s="58" customFormat="1" x14ac:dyDescent="0.25"/>
    <row r="205" s="58" customFormat="1" x14ac:dyDescent="0.25"/>
    <row r="206" s="58" customFormat="1" x14ac:dyDescent="0.25"/>
    <row r="207" s="58" customFormat="1" x14ac:dyDescent="0.25"/>
    <row r="208" s="58" customFormat="1" x14ac:dyDescent="0.25"/>
    <row r="209" s="58" customFormat="1" x14ac:dyDescent="0.25"/>
    <row r="210" s="58" customFormat="1" x14ac:dyDescent="0.25"/>
    <row r="211" s="58" customFormat="1" x14ac:dyDescent="0.25"/>
    <row r="212" s="58" customFormat="1" x14ac:dyDescent="0.25"/>
    <row r="213" s="58" customFormat="1" x14ac:dyDescent="0.25"/>
    <row r="214" s="58" customFormat="1" x14ac:dyDescent="0.25"/>
    <row r="215" s="58" customFormat="1" x14ac:dyDescent="0.25"/>
    <row r="216" s="58" customFormat="1" x14ac:dyDescent="0.25"/>
    <row r="217" s="58" customFormat="1" x14ac:dyDescent="0.25"/>
    <row r="218" s="58" customFormat="1" x14ac:dyDescent="0.25"/>
    <row r="219" s="58" customFormat="1" x14ac:dyDescent="0.25"/>
    <row r="220" s="58" customFormat="1" x14ac:dyDescent="0.25"/>
    <row r="221" s="58" customFormat="1" x14ac:dyDescent="0.25"/>
    <row r="222" s="58" customFormat="1" x14ac:dyDescent="0.25"/>
    <row r="223" s="58" customFormat="1" x14ac:dyDescent="0.25"/>
    <row r="224" s="58" customFormat="1" x14ac:dyDescent="0.25"/>
    <row r="225" s="58" customFormat="1" x14ac:dyDescent="0.25"/>
    <row r="226" s="58" customFormat="1" x14ac:dyDescent="0.25"/>
    <row r="227" s="58" customFormat="1" x14ac:dyDescent="0.25"/>
    <row r="228" s="58" customFormat="1" x14ac:dyDescent="0.25"/>
    <row r="229" s="58" customFormat="1" x14ac:dyDescent="0.25"/>
    <row r="230" s="58" customFormat="1" x14ac:dyDescent="0.25"/>
    <row r="231" s="58" customFormat="1" x14ac:dyDescent="0.25"/>
    <row r="232" s="58" customFormat="1" x14ac:dyDescent="0.25"/>
    <row r="233" s="58" customFormat="1" x14ac:dyDescent="0.25"/>
    <row r="234" s="58" customFormat="1" x14ac:dyDescent="0.25"/>
    <row r="235" s="58" customFormat="1" x14ac:dyDescent="0.25"/>
    <row r="236" s="58" customFormat="1" x14ac:dyDescent="0.25"/>
    <row r="237" s="58" customFormat="1" x14ac:dyDescent="0.25"/>
    <row r="238" s="58" customFormat="1" x14ac:dyDescent="0.25"/>
    <row r="239" s="58" customFormat="1" x14ac:dyDescent="0.25"/>
    <row r="240" s="58" customFormat="1" x14ac:dyDescent="0.25"/>
    <row r="241" s="58" customFormat="1" x14ac:dyDescent="0.25"/>
    <row r="242" s="58" customFormat="1" x14ac:dyDescent="0.25"/>
    <row r="243" s="58" customFormat="1" x14ac:dyDescent="0.25"/>
    <row r="244" s="58" customFormat="1" x14ac:dyDescent="0.25"/>
    <row r="245" s="58" customFormat="1" x14ac:dyDescent="0.25"/>
    <row r="246" s="58" customFormat="1" x14ac:dyDescent="0.25"/>
    <row r="247" s="58" customFormat="1" x14ac:dyDescent="0.25"/>
    <row r="248" s="58" customFormat="1" x14ac:dyDescent="0.25"/>
    <row r="249" s="58" customFormat="1" x14ac:dyDescent="0.25"/>
    <row r="250" s="58" customFormat="1" x14ac:dyDescent="0.25"/>
    <row r="251" s="58" customFormat="1" x14ac:dyDescent="0.25"/>
    <row r="252" s="58" customFormat="1" x14ac:dyDescent="0.25"/>
    <row r="253" s="58" customFormat="1" x14ac:dyDescent="0.25"/>
    <row r="254" s="58" customFormat="1" x14ac:dyDescent="0.25"/>
    <row r="255" s="58" customFormat="1" x14ac:dyDescent="0.25"/>
    <row r="256" s="58" customFormat="1" x14ac:dyDescent="0.25"/>
    <row r="257" s="58" customFormat="1" x14ac:dyDescent="0.25"/>
    <row r="258" s="58" customFormat="1" x14ac:dyDescent="0.25"/>
    <row r="259" s="58" customFormat="1" x14ac:dyDescent="0.25"/>
    <row r="260" s="58" customFormat="1" x14ac:dyDescent="0.25"/>
    <row r="261" s="58" customFormat="1" x14ac:dyDescent="0.25"/>
    <row r="262" s="58" customFormat="1" x14ac:dyDescent="0.25"/>
    <row r="263" s="58" customFormat="1" x14ac:dyDescent="0.25"/>
    <row r="264" s="58" customFormat="1" x14ac:dyDescent="0.25"/>
    <row r="265" s="58" customFormat="1" x14ac:dyDescent="0.25"/>
    <row r="266" s="58" customFormat="1" x14ac:dyDescent="0.25"/>
    <row r="267" s="58" customFormat="1" x14ac:dyDescent="0.25"/>
    <row r="268" s="58" customFormat="1" x14ac:dyDescent="0.25"/>
    <row r="269" s="58" customFormat="1" x14ac:dyDescent="0.25"/>
    <row r="270" s="58" customFormat="1" x14ac:dyDescent="0.25"/>
    <row r="271" s="58" customFormat="1" x14ac:dyDescent="0.25"/>
    <row r="272" s="58" customFormat="1" x14ac:dyDescent="0.25"/>
    <row r="273" s="58" customFormat="1" x14ac:dyDescent="0.25"/>
    <row r="274" s="58" customFormat="1" x14ac:dyDescent="0.25"/>
    <row r="275" s="58" customFormat="1" x14ac:dyDescent="0.25"/>
    <row r="276" s="58" customFormat="1" x14ac:dyDescent="0.25"/>
    <row r="277" s="58" customFormat="1" x14ac:dyDescent="0.25"/>
    <row r="278" s="58" customFormat="1" x14ac:dyDescent="0.25"/>
    <row r="279" s="58" customFormat="1" x14ac:dyDescent="0.25"/>
    <row r="280" s="58" customFormat="1" x14ac:dyDescent="0.25"/>
    <row r="281" s="58" customFormat="1" x14ac:dyDescent="0.25"/>
    <row r="282" s="58" customFormat="1" x14ac:dyDescent="0.25"/>
    <row r="283" s="58" customFormat="1" x14ac:dyDescent="0.25"/>
    <row r="284" s="58" customFormat="1" x14ac:dyDescent="0.25"/>
    <row r="285" s="58" customFormat="1" x14ac:dyDescent="0.25"/>
    <row r="286" s="58" customFormat="1" x14ac:dyDescent="0.25"/>
    <row r="287" s="58" customFormat="1" x14ac:dyDescent="0.25"/>
    <row r="288" s="58" customFormat="1" x14ac:dyDescent="0.25"/>
    <row r="289" s="58" customFormat="1" x14ac:dyDescent="0.25"/>
    <row r="290" s="58" customFormat="1" x14ac:dyDescent="0.25"/>
    <row r="291" s="58" customFormat="1" x14ac:dyDescent="0.25"/>
    <row r="292" s="58" customFormat="1" x14ac:dyDescent="0.25"/>
    <row r="293" s="58" customFormat="1" x14ac:dyDescent="0.25"/>
    <row r="294" s="58" customFormat="1" x14ac:dyDescent="0.25"/>
    <row r="295" s="58" customFormat="1" x14ac:dyDescent="0.25"/>
    <row r="296" s="58" customFormat="1" x14ac:dyDescent="0.25"/>
    <row r="297" s="58" customFormat="1" x14ac:dyDescent="0.25"/>
    <row r="298" s="58" customFormat="1" x14ac:dyDescent="0.25"/>
    <row r="299" s="58" customFormat="1" x14ac:dyDescent="0.25"/>
    <row r="300" s="58" customFormat="1" x14ac:dyDescent="0.25"/>
    <row r="301" s="58" customFormat="1" x14ac:dyDescent="0.25"/>
    <row r="302" s="58" customFormat="1" x14ac:dyDescent="0.25"/>
    <row r="303" s="58" customFormat="1" x14ac:dyDescent="0.25"/>
    <row r="304" s="58" customFormat="1" x14ac:dyDescent="0.25"/>
    <row r="305" s="58" customFormat="1" x14ac:dyDescent="0.25"/>
    <row r="306" s="58" customFormat="1" x14ac:dyDescent="0.25"/>
    <row r="307" s="58" customFormat="1" x14ac:dyDescent="0.25"/>
    <row r="308" s="58" customFormat="1" x14ac:dyDescent="0.25"/>
    <row r="309" s="58" customFormat="1" x14ac:dyDescent="0.25"/>
    <row r="310" s="58" customFormat="1" x14ac:dyDescent="0.25"/>
    <row r="311" s="58" customFormat="1" x14ac:dyDescent="0.25"/>
    <row r="312" s="58" customFormat="1" x14ac:dyDescent="0.25"/>
    <row r="313" s="58" customFormat="1" x14ac:dyDescent="0.25"/>
    <row r="314" s="58" customFormat="1" x14ac:dyDescent="0.25"/>
    <row r="315" s="58" customFormat="1" x14ac:dyDescent="0.25"/>
    <row r="316" s="58" customFormat="1" x14ac:dyDescent="0.25"/>
    <row r="317" s="58" customFormat="1" x14ac:dyDescent="0.25"/>
    <row r="318" s="58" customFormat="1" x14ac:dyDescent="0.25"/>
    <row r="319" s="58" customFormat="1" x14ac:dyDescent="0.25"/>
    <row r="320" s="58" customFormat="1" x14ac:dyDescent="0.25"/>
    <row r="321" s="58" customFormat="1" x14ac:dyDescent="0.25"/>
    <row r="322" s="58" customFormat="1" x14ac:dyDescent="0.25"/>
    <row r="323" s="58" customFormat="1" x14ac:dyDescent="0.25"/>
    <row r="324" s="58" customFormat="1" x14ac:dyDescent="0.25"/>
    <row r="325" s="58" customFormat="1" x14ac:dyDescent="0.25"/>
    <row r="326" s="58" customFormat="1" x14ac:dyDescent="0.25"/>
    <row r="327" s="58" customFormat="1" x14ac:dyDescent="0.25"/>
    <row r="328" s="58" customFormat="1" x14ac:dyDescent="0.25"/>
    <row r="329" s="58" customFormat="1" x14ac:dyDescent="0.25"/>
    <row r="330" s="58" customFormat="1" x14ac:dyDescent="0.25"/>
    <row r="331" s="58" customFormat="1" x14ac:dyDescent="0.25"/>
    <row r="332" s="58" customFormat="1" x14ac:dyDescent="0.25"/>
    <row r="333" s="58" customFormat="1" x14ac:dyDescent="0.25"/>
    <row r="334" s="58" customFormat="1" x14ac:dyDescent="0.25"/>
    <row r="335" s="58" customFormat="1" x14ac:dyDescent="0.25"/>
    <row r="336" s="58" customFormat="1" x14ac:dyDescent="0.25"/>
    <row r="337" s="58" customFormat="1" x14ac:dyDescent="0.25"/>
    <row r="338" s="58" customFormat="1" x14ac:dyDescent="0.25"/>
    <row r="339" s="58" customFormat="1" x14ac:dyDescent="0.25"/>
    <row r="340" s="58" customFormat="1" x14ac:dyDescent="0.25"/>
    <row r="341" s="58" customFormat="1" x14ac:dyDescent="0.25"/>
    <row r="342" s="58" customFormat="1" x14ac:dyDescent="0.25"/>
    <row r="343" s="58" customFormat="1" x14ac:dyDescent="0.25"/>
    <row r="344" s="58" customFormat="1" x14ac:dyDescent="0.25"/>
    <row r="345" s="58" customFormat="1" x14ac:dyDescent="0.25"/>
    <row r="346" s="58" customFormat="1" x14ac:dyDescent="0.25"/>
    <row r="347" s="58" customFormat="1" x14ac:dyDescent="0.25"/>
    <row r="348" s="58" customFormat="1" x14ac:dyDescent="0.25"/>
    <row r="349" s="58" customFormat="1" x14ac:dyDescent="0.25"/>
    <row r="350" s="58" customFormat="1" x14ac:dyDescent="0.25"/>
    <row r="351" s="58" customFormat="1" x14ac:dyDescent="0.25"/>
    <row r="352" s="58" customFormat="1" x14ac:dyDescent="0.25"/>
    <row r="353" s="58" customFormat="1" x14ac:dyDescent="0.25"/>
    <row r="354" s="58" customFormat="1" x14ac:dyDescent="0.25"/>
    <row r="355" s="58" customFormat="1" x14ac:dyDescent="0.25"/>
    <row r="356" s="58" customFormat="1" x14ac:dyDescent="0.25"/>
    <row r="357" s="58" customFormat="1" x14ac:dyDescent="0.25"/>
    <row r="358" s="58" customFormat="1" x14ac:dyDescent="0.25"/>
    <row r="359" s="58" customFormat="1" x14ac:dyDescent="0.25"/>
    <row r="360" s="58" customFormat="1" x14ac:dyDescent="0.25"/>
    <row r="361" s="58" customFormat="1" x14ac:dyDescent="0.25"/>
    <row r="362" s="58" customFormat="1" x14ac:dyDescent="0.25"/>
    <row r="363" s="58" customFormat="1" x14ac:dyDescent="0.25"/>
    <row r="364" s="58" customFormat="1" x14ac:dyDescent="0.25"/>
    <row r="365" s="58" customFormat="1" x14ac:dyDescent="0.25"/>
    <row r="366" s="58" customFormat="1" x14ac:dyDescent="0.25"/>
    <row r="367" s="58" customFormat="1" x14ac:dyDescent="0.25"/>
    <row r="368" s="58" customFormat="1" x14ac:dyDescent="0.25"/>
    <row r="369" s="58" customFormat="1" x14ac:dyDescent="0.25"/>
    <row r="370" s="58" customFormat="1" x14ac:dyDescent="0.25"/>
    <row r="371" s="58" customFormat="1" x14ac:dyDescent="0.25"/>
    <row r="372" s="58" customFormat="1" x14ac:dyDescent="0.25"/>
    <row r="373" s="58" customFormat="1" x14ac:dyDescent="0.25"/>
    <row r="374" s="58" customFormat="1" x14ac:dyDescent="0.25"/>
    <row r="375" s="58" customFormat="1" x14ac:dyDescent="0.25"/>
    <row r="376" s="58" customFormat="1" x14ac:dyDescent="0.25"/>
    <row r="377" s="58" customFormat="1" x14ac:dyDescent="0.25"/>
    <row r="378" s="58" customFormat="1" x14ac:dyDescent="0.25"/>
    <row r="379" s="58" customFormat="1" x14ac:dyDescent="0.25"/>
    <row r="380" s="58" customFormat="1" x14ac:dyDescent="0.25"/>
    <row r="381" s="58" customFormat="1" x14ac:dyDescent="0.25"/>
    <row r="382" s="58" customFormat="1" x14ac:dyDescent="0.25"/>
    <row r="383" s="58" customFormat="1" x14ac:dyDescent="0.25"/>
    <row r="384" s="58" customFormat="1" x14ac:dyDescent="0.25"/>
    <row r="385" s="58" customFormat="1" x14ac:dyDescent="0.25"/>
    <row r="386" s="58" customFormat="1" x14ac:dyDescent="0.25"/>
    <row r="387" s="58" customFormat="1" x14ac:dyDescent="0.25"/>
    <row r="388" s="58" customFormat="1" x14ac:dyDescent="0.25"/>
    <row r="389" s="58" customFormat="1" x14ac:dyDescent="0.25"/>
    <row r="390" s="58" customFormat="1" x14ac:dyDescent="0.25"/>
    <row r="391" s="58" customFormat="1" x14ac:dyDescent="0.25"/>
    <row r="392" s="58" customFormat="1" x14ac:dyDescent="0.25"/>
    <row r="393" s="58" customFormat="1" x14ac:dyDescent="0.25"/>
    <row r="394" s="58" customFormat="1" x14ac:dyDescent="0.25"/>
    <row r="395" s="58" customFormat="1" x14ac:dyDescent="0.25"/>
    <row r="396" s="58" customFormat="1" x14ac:dyDescent="0.25"/>
    <row r="397" s="58" customFormat="1" x14ac:dyDescent="0.25"/>
    <row r="398" s="58" customFormat="1" x14ac:dyDescent="0.25"/>
    <row r="399" s="58" customFormat="1" x14ac:dyDescent="0.25"/>
    <row r="400" s="58" customFormat="1" x14ac:dyDescent="0.25"/>
    <row r="401" s="58" customFormat="1" x14ac:dyDescent="0.25"/>
    <row r="402" s="58" customFormat="1" x14ac:dyDescent="0.25"/>
    <row r="403" s="58" customFormat="1" x14ac:dyDescent="0.25"/>
    <row r="404" s="58" customFormat="1" x14ac:dyDescent="0.25"/>
    <row r="405" s="58" customFormat="1" x14ac:dyDescent="0.25"/>
    <row r="406" s="58" customFormat="1" x14ac:dyDescent="0.25"/>
    <row r="407" s="58" customFormat="1" x14ac:dyDescent="0.25"/>
    <row r="408" s="58" customFormat="1" x14ac:dyDescent="0.25"/>
    <row r="409" s="58" customFormat="1" x14ac:dyDescent="0.25"/>
    <row r="410" s="58" customFormat="1" x14ac:dyDescent="0.25"/>
    <row r="411" s="58" customFormat="1" x14ac:dyDescent="0.25"/>
    <row r="412" s="58" customFormat="1" x14ac:dyDescent="0.25"/>
    <row r="413" s="58" customFormat="1" x14ac:dyDescent="0.25"/>
    <row r="414" s="58" customFormat="1" x14ac:dyDescent="0.25"/>
    <row r="415" s="58" customFormat="1" x14ac:dyDescent="0.25"/>
    <row r="416" s="58" customFormat="1" x14ac:dyDescent="0.25"/>
    <row r="417" s="58" customFormat="1" x14ac:dyDescent="0.25"/>
    <row r="418" s="58" customFormat="1" x14ac:dyDescent="0.25"/>
    <row r="419" s="58" customFormat="1" x14ac:dyDescent="0.25"/>
    <row r="420" s="58" customFormat="1" x14ac:dyDescent="0.25"/>
    <row r="421" s="58" customFormat="1" x14ac:dyDescent="0.25"/>
    <row r="422" s="58" customFormat="1" x14ac:dyDescent="0.25"/>
    <row r="423" s="58" customFormat="1" x14ac:dyDescent="0.25"/>
    <row r="424" s="58" customFormat="1" x14ac:dyDescent="0.25"/>
    <row r="425" s="58" customFormat="1" x14ac:dyDescent="0.25"/>
    <row r="426" s="58" customFormat="1" x14ac:dyDescent="0.25"/>
    <row r="427" s="58" customFormat="1" x14ac:dyDescent="0.25"/>
    <row r="428" s="58" customFormat="1" x14ac:dyDescent="0.25"/>
    <row r="429" s="58" customFormat="1" x14ac:dyDescent="0.25"/>
    <row r="430" s="58" customFormat="1" x14ac:dyDescent="0.25"/>
    <row r="431" s="58" customFormat="1" x14ac:dyDescent="0.25"/>
    <row r="432" s="58" customFormat="1" x14ac:dyDescent="0.25"/>
    <row r="433" s="58" customFormat="1" x14ac:dyDescent="0.25"/>
    <row r="434" s="58" customFormat="1" x14ac:dyDescent="0.25"/>
    <row r="435" s="58" customFormat="1" x14ac:dyDescent="0.25"/>
    <row r="436" s="58" customFormat="1" x14ac:dyDescent="0.25"/>
    <row r="437" s="58" customFormat="1" x14ac:dyDescent="0.25"/>
    <row r="438" s="58" customFormat="1" x14ac:dyDescent="0.25"/>
    <row r="439" s="58" customFormat="1" x14ac:dyDescent="0.25"/>
    <row r="440" s="58" customFormat="1" x14ac:dyDescent="0.25"/>
    <row r="441" s="58" customFormat="1" x14ac:dyDescent="0.25"/>
    <row r="442" s="58" customFormat="1" x14ac:dyDescent="0.25"/>
    <row r="443" s="58" customFormat="1" x14ac:dyDescent="0.25"/>
    <row r="444" s="58" customFormat="1" x14ac:dyDescent="0.25"/>
    <row r="445" s="58" customFormat="1" x14ac:dyDescent="0.25"/>
    <row r="446" s="58" customFormat="1" x14ac:dyDescent="0.25"/>
    <row r="447" s="58" customFormat="1" x14ac:dyDescent="0.25"/>
    <row r="448" s="58" customFormat="1" x14ac:dyDescent="0.25"/>
    <row r="449" s="58" customFormat="1" x14ac:dyDescent="0.25"/>
    <row r="450" s="58" customFormat="1" x14ac:dyDescent="0.25"/>
    <row r="451" s="58" customFormat="1" x14ac:dyDescent="0.25"/>
    <row r="452" s="58" customFormat="1" x14ac:dyDescent="0.25"/>
    <row r="453" s="58" customFormat="1" x14ac:dyDescent="0.25"/>
    <row r="454" s="58" customFormat="1" x14ac:dyDescent="0.25"/>
    <row r="455" s="58" customFormat="1" x14ac:dyDescent="0.25"/>
    <row r="456" s="58" customFormat="1" x14ac:dyDescent="0.25"/>
    <row r="457" s="58" customFormat="1" x14ac:dyDescent="0.25"/>
    <row r="458" s="58" customFormat="1" x14ac:dyDescent="0.25"/>
    <row r="459" s="58" customFormat="1" x14ac:dyDescent="0.25"/>
    <row r="460" s="58" customFormat="1" x14ac:dyDescent="0.25"/>
    <row r="461" s="58" customFormat="1" x14ac:dyDescent="0.25"/>
    <row r="462" s="58" customFormat="1" x14ac:dyDescent="0.25"/>
    <row r="463" s="58" customFormat="1" x14ac:dyDescent="0.25"/>
    <row r="464" s="58" customFormat="1" x14ac:dyDescent="0.25"/>
    <row r="465" s="58" customFormat="1" x14ac:dyDescent="0.25"/>
    <row r="466" s="58" customFormat="1" x14ac:dyDescent="0.25"/>
    <row r="467" s="58" customFormat="1" x14ac:dyDescent="0.25"/>
    <row r="468" s="58" customFormat="1" x14ac:dyDescent="0.25"/>
    <row r="469" s="58" customFormat="1" x14ac:dyDescent="0.25"/>
    <row r="470" s="58" customFormat="1" x14ac:dyDescent="0.25"/>
    <row r="471" s="58" customFormat="1" x14ac:dyDescent="0.25"/>
    <row r="472" s="58" customFormat="1" x14ac:dyDescent="0.25"/>
    <row r="473" s="58" customFormat="1" x14ac:dyDescent="0.25"/>
    <row r="474" s="58" customFormat="1" x14ac:dyDescent="0.25"/>
    <row r="475" s="58" customFormat="1" x14ac:dyDescent="0.25"/>
    <row r="476" s="58" customFormat="1" x14ac:dyDescent="0.25"/>
    <row r="477" s="58" customFormat="1" x14ac:dyDescent="0.25"/>
    <row r="478" s="58" customFormat="1" x14ac:dyDescent="0.25"/>
    <row r="479" s="58" customFormat="1" x14ac:dyDescent="0.25"/>
    <row r="480" s="58" customFormat="1" x14ac:dyDescent="0.25"/>
    <row r="481" s="58" customFormat="1" x14ac:dyDescent="0.25"/>
    <row r="482" s="58" customFormat="1" x14ac:dyDescent="0.25"/>
    <row r="483" s="58" customFormat="1" x14ac:dyDescent="0.25"/>
    <row r="484" s="58" customFormat="1" x14ac:dyDescent="0.25"/>
    <row r="485" s="58" customFormat="1" x14ac:dyDescent="0.25"/>
    <row r="486" s="58" customFormat="1" x14ac:dyDescent="0.25"/>
    <row r="487" s="58" customFormat="1" x14ac:dyDescent="0.25"/>
    <row r="488" s="58" customFormat="1" x14ac:dyDescent="0.25"/>
    <row r="489" s="58" customFormat="1" x14ac:dyDescent="0.25"/>
    <row r="490" s="58" customFormat="1" x14ac:dyDescent="0.25"/>
    <row r="491" s="58" customFormat="1" x14ac:dyDescent="0.25"/>
    <row r="492" s="58" customFormat="1" x14ac:dyDescent="0.25"/>
    <row r="493" s="58" customFormat="1" x14ac:dyDescent="0.25"/>
    <row r="494" s="58" customFormat="1" x14ac:dyDescent="0.25"/>
    <row r="495" s="58" customFormat="1" x14ac:dyDescent="0.25"/>
    <row r="496" s="58" customFormat="1" x14ac:dyDescent="0.25"/>
    <row r="497" s="58" customFormat="1" x14ac:dyDescent="0.25"/>
    <row r="498" s="58" customFormat="1" x14ac:dyDescent="0.25"/>
    <row r="499" s="58" customFormat="1" x14ac:dyDescent="0.25"/>
    <row r="500" s="58" customFormat="1" x14ac:dyDescent="0.25"/>
    <row r="501" s="58" customFormat="1" x14ac:dyDescent="0.25"/>
    <row r="502" s="58" customFormat="1" x14ac:dyDescent="0.25"/>
    <row r="503" s="58" customFormat="1" x14ac:dyDescent="0.25"/>
    <row r="504" s="58" customFormat="1" x14ac:dyDescent="0.25"/>
    <row r="505" s="58" customFormat="1" x14ac:dyDescent="0.25"/>
    <row r="506" s="58" customFormat="1" x14ac:dyDescent="0.25"/>
    <row r="507" s="58" customFormat="1" x14ac:dyDescent="0.25"/>
    <row r="508" s="58" customFormat="1" x14ac:dyDescent="0.25"/>
    <row r="509" s="58" customFormat="1" x14ac:dyDescent="0.25"/>
    <row r="510" s="58" customFormat="1" x14ac:dyDescent="0.25"/>
    <row r="511" s="58" customFormat="1" x14ac:dyDescent="0.25"/>
    <row r="512" s="58" customFormat="1" x14ac:dyDescent="0.25"/>
    <row r="513" s="58" customFormat="1" x14ac:dyDescent="0.25"/>
    <row r="514" s="58" customFormat="1" x14ac:dyDescent="0.25"/>
    <row r="515" s="58" customFormat="1" x14ac:dyDescent="0.25"/>
    <row r="516" s="58" customFormat="1" x14ac:dyDescent="0.25"/>
    <row r="517" s="58" customFormat="1" x14ac:dyDescent="0.25"/>
    <row r="518" s="58" customFormat="1" x14ac:dyDescent="0.25"/>
    <row r="519" s="58" customFormat="1" x14ac:dyDescent="0.25"/>
    <row r="520" s="58" customFormat="1" x14ac:dyDescent="0.25"/>
    <row r="521" s="58" customFormat="1" x14ac:dyDescent="0.25"/>
    <row r="522" s="58" customFormat="1" x14ac:dyDescent="0.25"/>
    <row r="523" s="58" customFormat="1" x14ac:dyDescent="0.25"/>
    <row r="524" s="58" customFormat="1" x14ac:dyDescent="0.25"/>
    <row r="525" s="58" customFormat="1" x14ac:dyDescent="0.25"/>
    <row r="526" s="58" customFormat="1" x14ac:dyDescent="0.25"/>
    <row r="527" s="58" customFormat="1" x14ac:dyDescent="0.25"/>
    <row r="528" s="58" customFormat="1" x14ac:dyDescent="0.25"/>
    <row r="529" s="58" customFormat="1" x14ac:dyDescent="0.25"/>
    <row r="530" s="58" customFormat="1" x14ac:dyDescent="0.25"/>
    <row r="531" s="58" customFormat="1" x14ac:dyDescent="0.25"/>
    <row r="532" s="58" customFormat="1" x14ac:dyDescent="0.25"/>
    <row r="533" s="58" customFormat="1" x14ac:dyDescent="0.25"/>
    <row r="534" s="58" customFormat="1" x14ac:dyDescent="0.25"/>
    <row r="535" s="58" customFormat="1" x14ac:dyDescent="0.25"/>
    <row r="536" s="58" customFormat="1" x14ac:dyDescent="0.25"/>
    <row r="537" s="58" customFormat="1" x14ac:dyDescent="0.25"/>
    <row r="538" s="58" customFormat="1" x14ac:dyDescent="0.25"/>
    <row r="539" s="58" customFormat="1" x14ac:dyDescent="0.25"/>
    <row r="540" s="58" customFormat="1" x14ac:dyDescent="0.25"/>
    <row r="541" s="58" customFormat="1" x14ac:dyDescent="0.25"/>
    <row r="542" s="58" customFormat="1" x14ac:dyDescent="0.25"/>
    <row r="543" s="58" customFormat="1" x14ac:dyDescent="0.25"/>
    <row r="544" s="58" customFormat="1" x14ac:dyDescent="0.25"/>
    <row r="545" s="58" customFormat="1" x14ac:dyDescent="0.25"/>
    <row r="546" s="58" customFormat="1" x14ac:dyDescent="0.25"/>
    <row r="547" s="58" customFormat="1" x14ac:dyDescent="0.25"/>
    <row r="548" s="58" customFormat="1" x14ac:dyDescent="0.25"/>
    <row r="549" s="58" customFormat="1" x14ac:dyDescent="0.25"/>
    <row r="550" s="58" customFormat="1" x14ac:dyDescent="0.25"/>
    <row r="551" s="58" customFormat="1" x14ac:dyDescent="0.25"/>
    <row r="552" s="58" customFormat="1" x14ac:dyDescent="0.25"/>
    <row r="553" s="58" customFormat="1" x14ac:dyDescent="0.25"/>
    <row r="554" s="58" customFormat="1" x14ac:dyDescent="0.25"/>
    <row r="555" s="58" customFormat="1" x14ac:dyDescent="0.25"/>
    <row r="556" s="58" customFormat="1" x14ac:dyDescent="0.25"/>
    <row r="557" s="58" customFormat="1" x14ac:dyDescent="0.25"/>
    <row r="558" s="58" customFormat="1" x14ac:dyDescent="0.25"/>
    <row r="559" s="58" customFormat="1" x14ac:dyDescent="0.25"/>
    <row r="560" s="58" customFormat="1" x14ac:dyDescent="0.25"/>
    <row r="561" s="58" customFormat="1" x14ac:dyDescent="0.25"/>
    <row r="562" s="58" customFormat="1" x14ac:dyDescent="0.25"/>
    <row r="563" s="58" customFormat="1" x14ac:dyDescent="0.25"/>
    <row r="564" s="58" customFormat="1" x14ac:dyDescent="0.25"/>
    <row r="565" s="58" customFormat="1" x14ac:dyDescent="0.25"/>
    <row r="566" s="58" customFormat="1" x14ac:dyDescent="0.25"/>
    <row r="567" s="58" customFormat="1" x14ac:dyDescent="0.25"/>
    <row r="568" s="58" customFormat="1" x14ac:dyDescent="0.25"/>
    <row r="569" s="58" customFormat="1" x14ac:dyDescent="0.25"/>
    <row r="570" s="58" customFormat="1" x14ac:dyDescent="0.25"/>
    <row r="571" s="58" customFormat="1" x14ac:dyDescent="0.25"/>
    <row r="572" s="58" customFormat="1" x14ac:dyDescent="0.25"/>
    <row r="573" s="58" customFormat="1" x14ac:dyDescent="0.25"/>
    <row r="574" s="58" customFormat="1" x14ac:dyDescent="0.25"/>
    <row r="575" s="58" customFormat="1" x14ac:dyDescent="0.25"/>
    <row r="576" s="58" customFormat="1" x14ac:dyDescent="0.25"/>
    <row r="577" s="58" customFormat="1" x14ac:dyDescent="0.25"/>
    <row r="578" s="58" customFormat="1" x14ac:dyDescent="0.25"/>
    <row r="579" s="58" customFormat="1" x14ac:dyDescent="0.25"/>
    <row r="580" s="58" customFormat="1" x14ac:dyDescent="0.25"/>
    <row r="581" s="58" customFormat="1" x14ac:dyDescent="0.25"/>
    <row r="582" s="58" customFormat="1" x14ac:dyDescent="0.25"/>
    <row r="583" s="58" customFormat="1" x14ac:dyDescent="0.25"/>
    <row r="584" s="58" customFormat="1" x14ac:dyDescent="0.25"/>
    <row r="585" s="58" customFormat="1" x14ac:dyDescent="0.25"/>
    <row r="586" s="58" customFormat="1" x14ac:dyDescent="0.25"/>
    <row r="587" s="58" customFormat="1" x14ac:dyDescent="0.25"/>
    <row r="588" s="58" customFormat="1" x14ac:dyDescent="0.25"/>
    <row r="589" s="58" customFormat="1" x14ac:dyDescent="0.25"/>
    <row r="590" s="58" customFormat="1" x14ac:dyDescent="0.25"/>
    <row r="591" s="58" customFormat="1" x14ac:dyDescent="0.25"/>
    <row r="592" s="58" customFormat="1" x14ac:dyDescent="0.25"/>
    <row r="593" s="58" customFormat="1" x14ac:dyDescent="0.25"/>
    <row r="594" s="58" customFormat="1" x14ac:dyDescent="0.25"/>
    <row r="595" s="58" customFormat="1" x14ac:dyDescent="0.25"/>
    <row r="596" s="58" customFormat="1" x14ac:dyDescent="0.25"/>
    <row r="597" s="58" customFormat="1" x14ac:dyDescent="0.25"/>
    <row r="598" s="58" customFormat="1" x14ac:dyDescent="0.25"/>
    <row r="599" s="58" customFormat="1" x14ac:dyDescent="0.25"/>
    <row r="600" s="58" customFormat="1" x14ac:dyDescent="0.25"/>
    <row r="601" s="58" customFormat="1" x14ac:dyDescent="0.25"/>
    <row r="602" s="58" customFormat="1" x14ac:dyDescent="0.25"/>
    <row r="603" s="58" customFormat="1" x14ac:dyDescent="0.25"/>
    <row r="604" s="58" customFormat="1" x14ac:dyDescent="0.25"/>
    <row r="605" s="58" customFormat="1" x14ac:dyDescent="0.25"/>
    <row r="606" s="58" customFormat="1" x14ac:dyDescent="0.25"/>
    <row r="607" s="58" customFormat="1" x14ac:dyDescent="0.25"/>
    <row r="608" s="58" customFormat="1" x14ac:dyDescent="0.25"/>
    <row r="609" s="58" customFormat="1" x14ac:dyDescent="0.25"/>
    <row r="610" s="58" customFormat="1" x14ac:dyDescent="0.25"/>
    <row r="611" s="58" customFormat="1" x14ac:dyDescent="0.25"/>
    <row r="612" s="58" customFormat="1" x14ac:dyDescent="0.25"/>
    <row r="613" s="58" customFormat="1" x14ac:dyDescent="0.25"/>
    <row r="614" s="58" customFormat="1" x14ac:dyDescent="0.25"/>
    <row r="615" s="58" customFormat="1" x14ac:dyDescent="0.25"/>
    <row r="616" s="58" customFormat="1" x14ac:dyDescent="0.25"/>
    <row r="617" s="58" customFormat="1" x14ac:dyDescent="0.25"/>
    <row r="618" s="58" customFormat="1" x14ac:dyDescent="0.25"/>
    <row r="619" s="58" customFormat="1" x14ac:dyDescent="0.25"/>
    <row r="620" s="58" customFormat="1" x14ac:dyDescent="0.25"/>
    <row r="621" s="58" customFormat="1" x14ac:dyDescent="0.25"/>
    <row r="622" s="58" customFormat="1" x14ac:dyDescent="0.25"/>
    <row r="623" s="58" customFormat="1" x14ac:dyDescent="0.25"/>
    <row r="624" s="58" customFormat="1" x14ac:dyDescent="0.25"/>
    <row r="625" s="58" customFormat="1" x14ac:dyDescent="0.25"/>
    <row r="626" s="58" customFormat="1" x14ac:dyDescent="0.25"/>
    <row r="627" s="58" customFormat="1" x14ac:dyDescent="0.25"/>
    <row r="628" s="58" customFormat="1" x14ac:dyDescent="0.25"/>
    <row r="629" s="58" customFormat="1" x14ac:dyDescent="0.25"/>
    <row r="630" s="58" customFormat="1" x14ac:dyDescent="0.25"/>
    <row r="631" s="58" customFormat="1" x14ac:dyDescent="0.25"/>
    <row r="632" s="58" customFormat="1" x14ac:dyDescent="0.25"/>
    <row r="633" s="58" customFormat="1" x14ac:dyDescent="0.25"/>
    <row r="634" s="58" customFormat="1" x14ac:dyDescent="0.25"/>
    <row r="635" s="58" customFormat="1" x14ac:dyDescent="0.25"/>
    <row r="636" s="58" customFormat="1" x14ac:dyDescent="0.25"/>
    <row r="637" s="58" customFormat="1" x14ac:dyDescent="0.25"/>
    <row r="638" s="58" customFormat="1" x14ac:dyDescent="0.25"/>
    <row r="639" s="58" customFormat="1" x14ac:dyDescent="0.25"/>
    <row r="640" s="58" customFormat="1" x14ac:dyDescent="0.25"/>
    <row r="641" s="58" customFormat="1" x14ac:dyDescent="0.25"/>
    <row r="642" s="58" customFormat="1" x14ac:dyDescent="0.25"/>
    <row r="643" s="58" customFormat="1" x14ac:dyDescent="0.25"/>
    <row r="644" s="58" customFormat="1" x14ac:dyDescent="0.25"/>
    <row r="645" s="58" customFormat="1" x14ac:dyDescent="0.25"/>
    <row r="646" s="58" customFormat="1" x14ac:dyDescent="0.25"/>
    <row r="647" s="58" customFormat="1" x14ac:dyDescent="0.25"/>
  </sheetData>
  <mergeCells count="28">
    <mergeCell ref="B15:D15"/>
    <mergeCell ref="B7:D7"/>
    <mergeCell ref="B8:D8"/>
    <mergeCell ref="F7:G7"/>
    <mergeCell ref="B14:D14"/>
    <mergeCell ref="F14:G14"/>
    <mergeCell ref="B2:L2"/>
    <mergeCell ref="B9:L9"/>
    <mergeCell ref="B16:L16"/>
    <mergeCell ref="B17:F18"/>
    <mergeCell ref="G17:I18"/>
    <mergeCell ref="J17:L18"/>
    <mergeCell ref="B10:G10"/>
    <mergeCell ref="H10:J11"/>
    <mergeCell ref="K10:L11"/>
    <mergeCell ref="B11:D11"/>
    <mergeCell ref="E11:G11"/>
    <mergeCell ref="H3:J4"/>
    <mergeCell ref="K3:L4"/>
    <mergeCell ref="B4:D4"/>
    <mergeCell ref="E4:G4"/>
    <mergeCell ref="B3:G3"/>
    <mergeCell ref="B19:F19"/>
    <mergeCell ref="G19:I19"/>
    <mergeCell ref="J19:L19"/>
    <mergeCell ref="B20:F20"/>
    <mergeCell ref="G20:I20"/>
    <mergeCell ref="J20:L20"/>
  </mergeCells>
  <pageMargins left="0.7" right="0.7" top="0.75" bottom="0.75" header="0.3" footer="0.3"/>
  <pageSetup paperSize="9" orientation="portrait" verticalDpi="0" r:id="rId1"/>
  <drawing r:id="rId2"/>
  <legacyDrawing r:id="rId3"/>
  <controls>
    <mc:AlternateContent xmlns:mc="http://schemas.openxmlformats.org/markup-compatibility/2006">
      <mc:Choice Requires="x14">
        <control shapeId="6303" r:id="rId4" name="TextBox32">
          <controlPr locked="0" defaultSize="0" autoLine="0" linkedCell="E15" r:id="rId5">
            <anchor>
              <from>
                <xdr:col>4</xdr:col>
                <xdr:colOff>0</xdr:colOff>
                <xdr:row>14</xdr:row>
                <xdr:rowOff>19050</xdr:rowOff>
              </from>
              <to>
                <xdr:col>4</xdr:col>
                <xdr:colOff>657225</xdr:colOff>
                <xdr:row>15</xdr:row>
                <xdr:rowOff>0</xdr:rowOff>
              </to>
            </anchor>
          </controlPr>
        </control>
      </mc:Choice>
      <mc:Fallback>
        <control shapeId="6303" r:id="rId4" name="TextBox32"/>
      </mc:Fallback>
    </mc:AlternateContent>
    <mc:AlternateContent xmlns:mc="http://schemas.openxmlformats.org/markup-compatibility/2006">
      <mc:Choice Requires="x14">
        <control shapeId="6302" r:id="rId6" name="ComboBox10">
          <controlPr locked="0" defaultSize="0" autoLine="0" linkedCell="G15" listFillRange="TDS_Dates" r:id="rId7">
            <anchor moveWithCells="1">
              <from>
                <xdr:col>5</xdr:col>
                <xdr:colOff>590550</xdr:colOff>
                <xdr:row>14</xdr:row>
                <xdr:rowOff>9525</xdr:rowOff>
              </from>
              <to>
                <xdr:col>7</xdr:col>
                <xdr:colOff>9525</xdr:colOff>
                <xdr:row>15</xdr:row>
                <xdr:rowOff>9525</xdr:rowOff>
              </to>
            </anchor>
          </controlPr>
        </control>
      </mc:Choice>
      <mc:Fallback>
        <control shapeId="6302" r:id="rId6" name="ComboBox10"/>
      </mc:Fallback>
    </mc:AlternateContent>
    <mc:AlternateContent xmlns:mc="http://schemas.openxmlformats.org/markup-compatibility/2006">
      <mc:Choice Requires="x14">
        <control shapeId="6301" r:id="rId8" name="ComboBox9">
          <controlPr locked="0" defaultSize="0" autoLine="0" linkedCell="F15" listFillRange="TDS_Dates" r:id="rId9">
            <anchor moveWithCells="1">
              <from>
                <xdr:col>4</xdr:col>
                <xdr:colOff>657225</xdr:colOff>
                <xdr:row>14</xdr:row>
                <xdr:rowOff>9525</xdr:rowOff>
              </from>
              <to>
                <xdr:col>5</xdr:col>
                <xdr:colOff>600075</xdr:colOff>
                <xdr:row>15</xdr:row>
                <xdr:rowOff>9525</xdr:rowOff>
              </to>
            </anchor>
          </controlPr>
        </control>
      </mc:Choice>
      <mc:Fallback>
        <control shapeId="6301" r:id="rId8" name="ComboBox9"/>
      </mc:Fallback>
    </mc:AlternateContent>
    <mc:AlternateContent xmlns:mc="http://schemas.openxmlformats.org/markup-compatibility/2006">
      <mc:Choice Requires="x14">
        <control shapeId="6298" r:id="rId10" name="TextBox31">
          <controlPr locked="0" defaultSize="0" autoLine="0" linkedCell="E8" r:id="rId5">
            <anchor>
              <from>
                <xdr:col>4</xdr:col>
                <xdr:colOff>9525</xdr:colOff>
                <xdr:row>7</xdr:row>
                <xdr:rowOff>0</xdr:rowOff>
              </from>
              <to>
                <xdr:col>5</xdr:col>
                <xdr:colOff>0</xdr:colOff>
                <xdr:row>7</xdr:row>
                <xdr:rowOff>219075</xdr:rowOff>
              </to>
            </anchor>
          </controlPr>
        </control>
      </mc:Choice>
      <mc:Fallback>
        <control shapeId="6298" r:id="rId10" name="TextBox31"/>
      </mc:Fallback>
    </mc:AlternateContent>
    <mc:AlternateContent xmlns:mc="http://schemas.openxmlformats.org/markup-compatibility/2006">
      <mc:Choice Requires="x14">
        <control shapeId="6297" r:id="rId11" name="ComboBox8">
          <controlPr locked="0" defaultSize="0" autoLine="0" linkedCell="G8" listFillRange="TDS_Dates" r:id="rId12">
            <anchor moveWithCells="1">
              <from>
                <xdr:col>6</xdr:col>
                <xdr:colOff>0</xdr:colOff>
                <xdr:row>7</xdr:row>
                <xdr:rowOff>0</xdr:rowOff>
              </from>
              <to>
                <xdr:col>7</xdr:col>
                <xdr:colOff>19050</xdr:colOff>
                <xdr:row>8</xdr:row>
                <xdr:rowOff>9525</xdr:rowOff>
              </to>
            </anchor>
          </controlPr>
        </control>
      </mc:Choice>
      <mc:Fallback>
        <control shapeId="6297" r:id="rId11" name="ComboBox8"/>
      </mc:Fallback>
    </mc:AlternateContent>
    <mc:AlternateContent xmlns:mc="http://schemas.openxmlformats.org/markup-compatibility/2006">
      <mc:Choice Requires="x14">
        <control shapeId="6296" r:id="rId13" name="ComboBox7">
          <controlPr locked="0" defaultSize="0" autoLine="0" linkedCell="F8" listFillRange="TDS_Dates" r:id="rId14">
            <anchor moveWithCells="1">
              <from>
                <xdr:col>5</xdr:col>
                <xdr:colOff>0</xdr:colOff>
                <xdr:row>7</xdr:row>
                <xdr:rowOff>0</xdr:rowOff>
              </from>
              <to>
                <xdr:col>6</xdr:col>
                <xdr:colOff>0</xdr:colOff>
                <xdr:row>8</xdr:row>
                <xdr:rowOff>9525</xdr:rowOff>
              </to>
            </anchor>
          </controlPr>
        </control>
      </mc:Choice>
      <mc:Fallback>
        <control shapeId="6296" r:id="rId13" name="ComboBox7"/>
      </mc:Fallback>
    </mc:AlternateContent>
    <mc:AlternateContent xmlns:mc="http://schemas.openxmlformats.org/markup-compatibility/2006">
      <mc:Choice Requires="x14">
        <control shapeId="6291" r:id="rId15" name="ComboBox4">
          <controlPr locked="0" defaultSize="0" autoLine="0" linkedCell="K15" listFillRange="TDS_Dates" r:id="rId16">
            <anchor moveWithCells="1">
              <from>
                <xdr:col>10</xdr:col>
                <xdr:colOff>9525</xdr:colOff>
                <xdr:row>14</xdr:row>
                <xdr:rowOff>9525</xdr:rowOff>
              </from>
              <to>
                <xdr:col>11</xdr:col>
                <xdr:colOff>9525</xdr:colOff>
                <xdr:row>15</xdr:row>
                <xdr:rowOff>0</xdr:rowOff>
              </to>
            </anchor>
          </controlPr>
        </control>
      </mc:Choice>
      <mc:Fallback>
        <control shapeId="6291" r:id="rId15" name="ComboBox4"/>
      </mc:Fallback>
    </mc:AlternateContent>
    <mc:AlternateContent xmlns:mc="http://schemas.openxmlformats.org/markup-compatibility/2006">
      <mc:Choice Requires="x14">
        <control shapeId="6290" r:id="rId17" name="ComboBox3">
          <controlPr locked="0" defaultSize="0" autoLine="0" linkedCell="K8" listFillRange="TDS_Dates" r:id="rId18">
            <anchor moveWithCells="1">
              <from>
                <xdr:col>10</xdr:col>
                <xdr:colOff>9525</xdr:colOff>
                <xdr:row>7</xdr:row>
                <xdr:rowOff>9525</xdr:rowOff>
              </from>
              <to>
                <xdr:col>11</xdr:col>
                <xdr:colOff>9525</xdr:colOff>
                <xdr:row>8</xdr:row>
                <xdr:rowOff>9525</xdr:rowOff>
              </to>
            </anchor>
          </controlPr>
        </control>
      </mc:Choice>
      <mc:Fallback>
        <control shapeId="6290" r:id="rId17" name="ComboBox3"/>
      </mc:Fallback>
    </mc:AlternateContent>
    <mc:AlternateContent xmlns:mc="http://schemas.openxmlformats.org/markup-compatibility/2006">
      <mc:Choice Requires="x14">
        <control shapeId="6289" r:id="rId19" name="TextBox30">
          <controlPr locked="0" defaultSize="0" autoLine="0" linkedCell="L14" r:id="rId20">
            <anchor>
              <from>
                <xdr:col>11</xdr:col>
                <xdr:colOff>9525</xdr:colOff>
                <xdr:row>13</xdr:row>
                <xdr:rowOff>0</xdr:rowOff>
              </from>
              <to>
                <xdr:col>11</xdr:col>
                <xdr:colOff>723900</xdr:colOff>
                <xdr:row>13</xdr:row>
                <xdr:rowOff>209550</xdr:rowOff>
              </to>
            </anchor>
          </controlPr>
        </control>
      </mc:Choice>
      <mc:Fallback>
        <control shapeId="6289" r:id="rId19" name="TextBox30"/>
      </mc:Fallback>
    </mc:AlternateContent>
    <mc:AlternateContent xmlns:mc="http://schemas.openxmlformats.org/markup-compatibility/2006">
      <mc:Choice Requires="x14">
        <control shapeId="6288" r:id="rId21" name="TextBox29">
          <controlPr locked="0" defaultSize="0" autoLine="0" linkedCell="L7" r:id="rId22">
            <anchor>
              <from>
                <xdr:col>11</xdr:col>
                <xdr:colOff>9525</xdr:colOff>
                <xdr:row>5</xdr:row>
                <xdr:rowOff>200025</xdr:rowOff>
              </from>
              <to>
                <xdr:col>12</xdr:col>
                <xdr:colOff>0</xdr:colOff>
                <xdr:row>7</xdr:row>
                <xdr:rowOff>19050</xdr:rowOff>
              </to>
            </anchor>
          </controlPr>
        </control>
      </mc:Choice>
      <mc:Fallback>
        <control shapeId="6288" r:id="rId21" name="TextBox29"/>
      </mc:Fallback>
    </mc:AlternateContent>
    <mc:AlternateContent xmlns:mc="http://schemas.openxmlformats.org/markup-compatibility/2006">
      <mc:Choice Requires="x14">
        <control shapeId="6211" r:id="rId23" name="ComboBox2">
          <controlPr locked="0" defaultSize="0" autoLine="0" linkedCell="L13" listFillRange="FrequencyBox" r:id="rId24">
            <anchor moveWithCells="1">
              <from>
                <xdr:col>11</xdr:col>
                <xdr:colOff>9525</xdr:colOff>
                <xdr:row>11</xdr:row>
                <xdr:rowOff>180975</xdr:rowOff>
              </from>
              <to>
                <xdr:col>12</xdr:col>
                <xdr:colOff>0</xdr:colOff>
                <xdr:row>13</xdr:row>
                <xdr:rowOff>0</xdr:rowOff>
              </to>
            </anchor>
          </controlPr>
        </control>
      </mc:Choice>
      <mc:Fallback>
        <control shapeId="6211" r:id="rId23" name="ComboBox2"/>
      </mc:Fallback>
    </mc:AlternateContent>
    <mc:AlternateContent xmlns:mc="http://schemas.openxmlformats.org/markup-compatibility/2006">
      <mc:Choice Requires="x14">
        <control shapeId="6210" r:id="rId25" name="ComboBox1">
          <controlPr locked="0" defaultSize="0" autoLine="0" linkedCell="L6" listFillRange="FrequencyBox" r:id="rId26">
            <anchor moveWithCells="1">
              <from>
                <xdr:col>11</xdr:col>
                <xdr:colOff>9525</xdr:colOff>
                <xdr:row>4</xdr:row>
                <xdr:rowOff>180975</xdr:rowOff>
              </from>
              <to>
                <xdr:col>12</xdr:col>
                <xdr:colOff>0</xdr:colOff>
                <xdr:row>6</xdr:row>
                <xdr:rowOff>9525</xdr:rowOff>
              </to>
            </anchor>
          </controlPr>
        </control>
      </mc:Choice>
      <mc:Fallback>
        <control shapeId="6210" r:id="rId25" name="ComboBox1"/>
      </mc:Fallback>
    </mc:AlternateContent>
    <mc:AlternateContent xmlns:mc="http://schemas.openxmlformats.org/markup-compatibility/2006">
      <mc:Choice Requires="x14">
        <control shapeId="6205" r:id="rId27" name="TextBox28">
          <controlPr locked="0" defaultSize="0" autoLine="0" linkedCell="J13" r:id="rId28">
            <anchor>
              <from>
                <xdr:col>9</xdr:col>
                <xdr:colOff>0</xdr:colOff>
                <xdr:row>11</xdr:row>
                <xdr:rowOff>180975</xdr:rowOff>
              </from>
              <to>
                <xdr:col>10</xdr:col>
                <xdr:colOff>0</xdr:colOff>
                <xdr:row>12</xdr:row>
                <xdr:rowOff>200025</xdr:rowOff>
              </to>
            </anchor>
          </controlPr>
        </control>
      </mc:Choice>
      <mc:Fallback>
        <control shapeId="6205" r:id="rId27" name="TextBox28"/>
      </mc:Fallback>
    </mc:AlternateContent>
    <mc:AlternateContent xmlns:mc="http://schemas.openxmlformats.org/markup-compatibility/2006">
      <mc:Choice Requires="x14">
        <control shapeId="6204" r:id="rId29" name="TextBox27">
          <controlPr defaultSize="0" autoLine="0" linkedCell="D13" r:id="rId28">
            <anchor>
              <from>
                <xdr:col>3</xdr:col>
                <xdr:colOff>0</xdr:colOff>
                <xdr:row>12</xdr:row>
                <xdr:rowOff>0</xdr:rowOff>
              </from>
              <to>
                <xdr:col>4</xdr:col>
                <xdr:colOff>0</xdr:colOff>
                <xdr:row>12</xdr:row>
                <xdr:rowOff>209550</xdr:rowOff>
              </to>
            </anchor>
          </controlPr>
        </control>
      </mc:Choice>
      <mc:Fallback>
        <control shapeId="6204" r:id="rId29" name="TextBox27"/>
      </mc:Fallback>
    </mc:AlternateContent>
    <mc:AlternateContent xmlns:mc="http://schemas.openxmlformats.org/markup-compatibility/2006">
      <mc:Choice Requires="x14">
        <control shapeId="6203" r:id="rId30" name="TextBox26">
          <controlPr locked="0" defaultSize="0" autoLine="0" linkedCell="G13" r:id="rId28">
            <anchor>
              <from>
                <xdr:col>6</xdr:col>
                <xdr:colOff>0</xdr:colOff>
                <xdr:row>12</xdr:row>
                <xdr:rowOff>0</xdr:rowOff>
              </from>
              <to>
                <xdr:col>7</xdr:col>
                <xdr:colOff>0</xdr:colOff>
                <xdr:row>12</xdr:row>
                <xdr:rowOff>209550</xdr:rowOff>
              </to>
            </anchor>
          </controlPr>
        </control>
      </mc:Choice>
      <mc:Fallback>
        <control shapeId="6203" r:id="rId30" name="TextBox26"/>
      </mc:Fallback>
    </mc:AlternateContent>
    <mc:AlternateContent xmlns:mc="http://schemas.openxmlformats.org/markup-compatibility/2006">
      <mc:Choice Requires="x14">
        <control shapeId="6202" r:id="rId31" name="TextBox25">
          <controlPr locked="0" defaultSize="0" autoLine="0" linkedCell="J6" r:id="rId28">
            <anchor>
              <from>
                <xdr:col>9</xdr:col>
                <xdr:colOff>0</xdr:colOff>
                <xdr:row>4</xdr:row>
                <xdr:rowOff>180975</xdr:rowOff>
              </from>
              <to>
                <xdr:col>10</xdr:col>
                <xdr:colOff>0</xdr:colOff>
                <xdr:row>5</xdr:row>
                <xdr:rowOff>200025</xdr:rowOff>
              </to>
            </anchor>
          </controlPr>
        </control>
      </mc:Choice>
      <mc:Fallback>
        <control shapeId="6202" r:id="rId31" name="TextBox25"/>
      </mc:Fallback>
    </mc:AlternateContent>
    <mc:AlternateContent xmlns:mc="http://schemas.openxmlformats.org/markup-compatibility/2006">
      <mc:Choice Requires="x14">
        <control shapeId="6201" r:id="rId32" name="TextBox24">
          <controlPr defaultSize="0" autoLine="0" linkedCell="D6" r:id="rId28">
            <anchor>
              <from>
                <xdr:col>3</xdr:col>
                <xdr:colOff>0</xdr:colOff>
                <xdr:row>4</xdr:row>
                <xdr:rowOff>180975</xdr:rowOff>
              </from>
              <to>
                <xdr:col>4</xdr:col>
                <xdr:colOff>0</xdr:colOff>
                <xdr:row>5</xdr:row>
                <xdr:rowOff>200025</xdr:rowOff>
              </to>
            </anchor>
          </controlPr>
        </control>
      </mc:Choice>
      <mc:Fallback>
        <control shapeId="6201" r:id="rId32" name="TextBox24"/>
      </mc:Fallback>
    </mc:AlternateContent>
    <mc:AlternateContent xmlns:mc="http://schemas.openxmlformats.org/markup-compatibility/2006">
      <mc:Choice Requires="x14">
        <control shapeId="6200" r:id="rId33" name="TextBox23">
          <controlPr locked="0" defaultSize="0" autoLine="0" linkedCell="G6" r:id="rId28">
            <anchor>
              <from>
                <xdr:col>6</xdr:col>
                <xdr:colOff>0</xdr:colOff>
                <xdr:row>4</xdr:row>
                <xdr:rowOff>171450</xdr:rowOff>
              </from>
              <to>
                <xdr:col>7</xdr:col>
                <xdr:colOff>0</xdr:colOff>
                <xdr:row>5</xdr:row>
                <xdr:rowOff>190500</xdr:rowOff>
              </to>
            </anchor>
          </controlPr>
        </control>
      </mc:Choice>
      <mc:Fallback>
        <control shapeId="6200" r:id="rId33" name="TextBox23"/>
      </mc:Fallback>
    </mc:AlternateContent>
    <mc:AlternateContent xmlns:mc="http://schemas.openxmlformats.org/markup-compatibility/2006">
      <mc:Choice Requires="x14">
        <control shapeId="6157" r:id="rId34" name="TextBox1">
          <controlPr defaultSize="0" autoLine="0" linkedCell="'OTDS Tab Calculations'!B220" r:id="rId35">
            <anchor moveWithCells="1" sizeWithCells="1">
              <from>
                <xdr:col>16</xdr:col>
                <xdr:colOff>76200</xdr:colOff>
                <xdr:row>4</xdr:row>
                <xdr:rowOff>95250</xdr:rowOff>
              </from>
              <to>
                <xdr:col>16</xdr:col>
                <xdr:colOff>428625</xdr:colOff>
                <xdr:row>5</xdr:row>
                <xdr:rowOff>114300</xdr:rowOff>
              </to>
            </anchor>
          </controlPr>
        </control>
      </mc:Choice>
      <mc:Fallback>
        <control shapeId="6157" r:id="rId34" name="TextBox1"/>
      </mc:Fallback>
    </mc:AlternateContent>
    <mc:AlternateContent xmlns:mc="http://schemas.openxmlformats.org/markup-compatibility/2006">
      <mc:Choice Requires="x14">
        <control shapeId="6161" r:id="rId36" name="TextBox2">
          <controlPr defaultSize="0" autoLine="0" linkedCell="'OTDS Tab Calculations'!B221" r:id="rId37">
            <anchor moveWithCells="1" sizeWithCells="1">
              <from>
                <xdr:col>16</xdr:col>
                <xdr:colOff>76200</xdr:colOff>
                <xdr:row>5</xdr:row>
                <xdr:rowOff>85725</xdr:rowOff>
              </from>
              <to>
                <xdr:col>16</xdr:col>
                <xdr:colOff>428625</xdr:colOff>
                <xdr:row>6</xdr:row>
                <xdr:rowOff>85725</xdr:rowOff>
              </to>
            </anchor>
          </controlPr>
        </control>
      </mc:Choice>
      <mc:Fallback>
        <control shapeId="6161" r:id="rId36" name="TextBox2"/>
      </mc:Fallback>
    </mc:AlternateContent>
    <mc:AlternateContent xmlns:mc="http://schemas.openxmlformats.org/markup-compatibility/2006">
      <mc:Choice Requires="x14">
        <control shapeId="6162" r:id="rId38" name="TextBox3">
          <controlPr defaultSize="0" autoLine="0" linkedCell="'OTDS Tab Calculations'!B222" r:id="rId39">
            <anchor moveWithCells="1" sizeWithCells="1">
              <from>
                <xdr:col>16</xdr:col>
                <xdr:colOff>76200</xdr:colOff>
                <xdr:row>6</xdr:row>
                <xdr:rowOff>57150</xdr:rowOff>
              </from>
              <to>
                <xdr:col>16</xdr:col>
                <xdr:colOff>428625</xdr:colOff>
                <xdr:row>7</xdr:row>
                <xdr:rowOff>47625</xdr:rowOff>
              </to>
            </anchor>
          </controlPr>
        </control>
      </mc:Choice>
      <mc:Fallback>
        <control shapeId="6162" r:id="rId38" name="TextBox3"/>
      </mc:Fallback>
    </mc:AlternateContent>
    <mc:AlternateContent xmlns:mc="http://schemas.openxmlformats.org/markup-compatibility/2006">
      <mc:Choice Requires="x14">
        <control shapeId="6163" r:id="rId40" name="TextBox4">
          <controlPr defaultSize="0" autoLine="0" linkedCell="'OTDS Tab Calculations'!B223" r:id="rId41">
            <anchor moveWithCells="1" sizeWithCells="1">
              <from>
                <xdr:col>16</xdr:col>
                <xdr:colOff>76200</xdr:colOff>
                <xdr:row>7</xdr:row>
                <xdr:rowOff>19050</xdr:rowOff>
              </from>
              <to>
                <xdr:col>16</xdr:col>
                <xdr:colOff>428625</xdr:colOff>
                <xdr:row>8</xdr:row>
                <xdr:rowOff>9525</xdr:rowOff>
              </to>
            </anchor>
          </controlPr>
        </control>
      </mc:Choice>
      <mc:Fallback>
        <control shapeId="6163" r:id="rId40" name="TextBox4"/>
      </mc:Fallback>
    </mc:AlternateContent>
    <mc:AlternateContent xmlns:mc="http://schemas.openxmlformats.org/markup-compatibility/2006">
      <mc:Choice Requires="x14">
        <control shapeId="6164" r:id="rId42" name="TextBox5">
          <controlPr defaultSize="0" autoLine="0" linkedCell="'OTDS Tab Calculations'!B224" r:id="rId41">
            <anchor moveWithCells="1" sizeWithCells="1">
              <from>
                <xdr:col>16</xdr:col>
                <xdr:colOff>76200</xdr:colOff>
                <xdr:row>7</xdr:row>
                <xdr:rowOff>219075</xdr:rowOff>
              </from>
              <to>
                <xdr:col>16</xdr:col>
                <xdr:colOff>428625</xdr:colOff>
                <xdr:row>8</xdr:row>
                <xdr:rowOff>209550</xdr:rowOff>
              </to>
            </anchor>
          </controlPr>
        </control>
      </mc:Choice>
      <mc:Fallback>
        <control shapeId="6164" r:id="rId42" name="TextBox5"/>
      </mc:Fallback>
    </mc:AlternateContent>
    <mc:AlternateContent xmlns:mc="http://schemas.openxmlformats.org/markup-compatibility/2006">
      <mc:Choice Requires="x14">
        <control shapeId="6165" r:id="rId43" name="TextBox6">
          <controlPr defaultSize="0" autoLine="0" linkedCell="'OTDS Tab Calculations'!B225" r:id="rId37">
            <anchor moveWithCells="1" sizeWithCells="1">
              <from>
                <xdr:col>16</xdr:col>
                <xdr:colOff>76200</xdr:colOff>
                <xdr:row>8</xdr:row>
                <xdr:rowOff>180975</xdr:rowOff>
              </from>
              <to>
                <xdr:col>16</xdr:col>
                <xdr:colOff>428625</xdr:colOff>
                <xdr:row>9</xdr:row>
                <xdr:rowOff>123825</xdr:rowOff>
              </to>
            </anchor>
          </controlPr>
        </control>
      </mc:Choice>
      <mc:Fallback>
        <control shapeId="6165" r:id="rId43" name="TextBox6"/>
      </mc:Fallback>
    </mc:AlternateContent>
    <mc:AlternateContent xmlns:mc="http://schemas.openxmlformats.org/markup-compatibility/2006">
      <mc:Choice Requires="x14">
        <control shapeId="6166" r:id="rId44" name="TextBox7">
          <controlPr defaultSize="0" autoLine="0" linkedCell="'OTDS Tab Calculations'!B226" r:id="rId37">
            <anchor moveWithCells="1" sizeWithCells="1">
              <from>
                <xdr:col>16</xdr:col>
                <xdr:colOff>76200</xdr:colOff>
                <xdr:row>9</xdr:row>
                <xdr:rowOff>95250</xdr:rowOff>
              </from>
              <to>
                <xdr:col>16</xdr:col>
                <xdr:colOff>428625</xdr:colOff>
                <xdr:row>10</xdr:row>
                <xdr:rowOff>114300</xdr:rowOff>
              </to>
            </anchor>
          </controlPr>
        </control>
      </mc:Choice>
      <mc:Fallback>
        <control shapeId="6166" r:id="rId44" name="TextBox7"/>
      </mc:Fallback>
    </mc:AlternateContent>
    <mc:AlternateContent xmlns:mc="http://schemas.openxmlformats.org/markup-compatibility/2006">
      <mc:Choice Requires="x14">
        <control shapeId="6167" r:id="rId45" name="TextBox8">
          <controlPr defaultSize="0" autoLine="0" linkedCell="'OTDS Tab Calculations'!B227" r:id="rId37">
            <anchor moveWithCells="1" sizeWithCells="1">
              <from>
                <xdr:col>16</xdr:col>
                <xdr:colOff>76200</xdr:colOff>
                <xdr:row>10</xdr:row>
                <xdr:rowOff>85725</xdr:rowOff>
              </from>
              <to>
                <xdr:col>16</xdr:col>
                <xdr:colOff>428625</xdr:colOff>
                <xdr:row>11</xdr:row>
                <xdr:rowOff>104775</xdr:rowOff>
              </to>
            </anchor>
          </controlPr>
        </control>
      </mc:Choice>
      <mc:Fallback>
        <control shapeId="6167" r:id="rId45" name="TextBox8"/>
      </mc:Fallback>
    </mc:AlternateContent>
    <mc:AlternateContent xmlns:mc="http://schemas.openxmlformats.org/markup-compatibility/2006">
      <mc:Choice Requires="x14">
        <control shapeId="6168" r:id="rId46" name="TextBox9">
          <controlPr defaultSize="0" autoLine="0" linkedCell="'OTDS Tab Calculations'!B228" r:id="rId37">
            <anchor moveWithCells="1" sizeWithCells="1">
              <from>
                <xdr:col>16</xdr:col>
                <xdr:colOff>76200</xdr:colOff>
                <xdr:row>11</xdr:row>
                <xdr:rowOff>76200</xdr:rowOff>
              </from>
              <to>
                <xdr:col>16</xdr:col>
                <xdr:colOff>428625</xdr:colOff>
                <xdr:row>12</xdr:row>
                <xdr:rowOff>95250</xdr:rowOff>
              </to>
            </anchor>
          </controlPr>
        </control>
      </mc:Choice>
      <mc:Fallback>
        <control shapeId="6168" r:id="rId46" name="TextBox9"/>
      </mc:Fallback>
    </mc:AlternateContent>
    <mc:AlternateContent xmlns:mc="http://schemas.openxmlformats.org/markup-compatibility/2006">
      <mc:Choice Requires="x14">
        <control shapeId="6169" r:id="rId47" name="TextBox10">
          <controlPr defaultSize="0" autoLine="0" linkedCell="'OTDS Tab Calculations'!B229" r:id="rId37">
            <anchor moveWithCells="1" sizeWithCells="1">
              <from>
                <xdr:col>16</xdr:col>
                <xdr:colOff>76200</xdr:colOff>
                <xdr:row>12</xdr:row>
                <xdr:rowOff>66675</xdr:rowOff>
              </from>
              <to>
                <xdr:col>16</xdr:col>
                <xdr:colOff>428625</xdr:colOff>
                <xdr:row>13</xdr:row>
                <xdr:rowOff>57150</xdr:rowOff>
              </to>
            </anchor>
          </controlPr>
        </control>
      </mc:Choice>
      <mc:Fallback>
        <control shapeId="6169" r:id="rId47" name="TextBox10"/>
      </mc:Fallback>
    </mc:AlternateContent>
    <mc:AlternateContent xmlns:mc="http://schemas.openxmlformats.org/markup-compatibility/2006">
      <mc:Choice Requires="x14">
        <control shapeId="6172" r:id="rId48" name="TextBox11">
          <controlPr defaultSize="0" autoLine="0" linkedCell="'OTDS Tab Calculations'!B230" r:id="rId37">
            <anchor moveWithCells="1" sizeWithCells="1">
              <from>
                <xdr:col>16</xdr:col>
                <xdr:colOff>76200</xdr:colOff>
                <xdr:row>13</xdr:row>
                <xdr:rowOff>38100</xdr:rowOff>
              </from>
              <to>
                <xdr:col>16</xdr:col>
                <xdr:colOff>428625</xdr:colOff>
                <xdr:row>14</xdr:row>
                <xdr:rowOff>19050</xdr:rowOff>
              </to>
            </anchor>
          </controlPr>
        </control>
      </mc:Choice>
      <mc:Fallback>
        <control shapeId="6172" r:id="rId48" name="TextBox11"/>
      </mc:Fallback>
    </mc:AlternateContent>
    <mc:AlternateContent xmlns:mc="http://schemas.openxmlformats.org/markup-compatibility/2006">
      <mc:Choice Requires="x14">
        <control shapeId="6173" r:id="rId49" name="TextBox12">
          <controlPr defaultSize="0" autoLine="0" linkedCell="'OTDS Tab Calculations'!C220" r:id="rId50">
            <anchor moveWithCells="1" sizeWithCells="1">
              <from>
                <xdr:col>17</xdr:col>
                <xdr:colOff>38100</xdr:colOff>
                <xdr:row>4</xdr:row>
                <xdr:rowOff>85725</xdr:rowOff>
              </from>
              <to>
                <xdr:col>17</xdr:col>
                <xdr:colOff>390525</xdr:colOff>
                <xdr:row>5</xdr:row>
                <xdr:rowOff>104775</xdr:rowOff>
              </to>
            </anchor>
          </controlPr>
        </control>
      </mc:Choice>
      <mc:Fallback>
        <control shapeId="6173" r:id="rId49" name="TextBox12"/>
      </mc:Fallback>
    </mc:AlternateContent>
    <mc:AlternateContent xmlns:mc="http://schemas.openxmlformats.org/markup-compatibility/2006">
      <mc:Choice Requires="x14">
        <control shapeId="6174" r:id="rId51" name="TextBox13">
          <controlPr defaultSize="0" autoLine="0" linkedCell="'OTDS Tab Calculations'!C221" r:id="rId37">
            <anchor moveWithCells="1" sizeWithCells="1">
              <from>
                <xdr:col>17</xdr:col>
                <xdr:colOff>38100</xdr:colOff>
                <xdr:row>5</xdr:row>
                <xdr:rowOff>76200</xdr:rowOff>
              </from>
              <to>
                <xdr:col>17</xdr:col>
                <xdr:colOff>390525</xdr:colOff>
                <xdr:row>6</xdr:row>
                <xdr:rowOff>76200</xdr:rowOff>
              </to>
            </anchor>
          </controlPr>
        </control>
      </mc:Choice>
      <mc:Fallback>
        <control shapeId="6174" r:id="rId51" name="TextBox13"/>
      </mc:Fallback>
    </mc:AlternateContent>
    <mc:AlternateContent xmlns:mc="http://schemas.openxmlformats.org/markup-compatibility/2006">
      <mc:Choice Requires="x14">
        <control shapeId="6175" r:id="rId52" name="TextBox14">
          <controlPr defaultSize="0" autoLine="0" linkedCell="'OTDS Tab Calculations'!C222" r:id="rId39">
            <anchor moveWithCells="1" sizeWithCells="1">
              <from>
                <xdr:col>17</xdr:col>
                <xdr:colOff>38100</xdr:colOff>
                <xdr:row>6</xdr:row>
                <xdr:rowOff>47625</xdr:rowOff>
              </from>
              <to>
                <xdr:col>17</xdr:col>
                <xdr:colOff>390525</xdr:colOff>
                <xdr:row>7</xdr:row>
                <xdr:rowOff>38100</xdr:rowOff>
              </to>
            </anchor>
          </controlPr>
        </control>
      </mc:Choice>
      <mc:Fallback>
        <control shapeId="6175" r:id="rId52" name="TextBox14"/>
      </mc:Fallback>
    </mc:AlternateContent>
    <mc:AlternateContent xmlns:mc="http://schemas.openxmlformats.org/markup-compatibility/2006">
      <mc:Choice Requires="x14">
        <control shapeId="6176" r:id="rId53" name="TextBox15">
          <controlPr defaultSize="0" autoLine="0" linkedCell="'OTDS Tab Calculations'!C223" r:id="rId37">
            <anchor moveWithCells="1" sizeWithCells="1">
              <from>
                <xdr:col>17</xdr:col>
                <xdr:colOff>38100</xdr:colOff>
                <xdr:row>7</xdr:row>
                <xdr:rowOff>9525</xdr:rowOff>
              </from>
              <to>
                <xdr:col>17</xdr:col>
                <xdr:colOff>390525</xdr:colOff>
                <xdr:row>7</xdr:row>
                <xdr:rowOff>219075</xdr:rowOff>
              </to>
            </anchor>
          </controlPr>
        </control>
      </mc:Choice>
      <mc:Fallback>
        <control shapeId="6176" r:id="rId53" name="TextBox15"/>
      </mc:Fallback>
    </mc:AlternateContent>
    <mc:AlternateContent xmlns:mc="http://schemas.openxmlformats.org/markup-compatibility/2006">
      <mc:Choice Requires="x14">
        <control shapeId="6177" r:id="rId54" name="TextBox16">
          <controlPr defaultSize="0" autoLine="0" linkedCell="'OTDS Tab Calculations'!C224" r:id="rId41">
            <anchor moveWithCells="1" sizeWithCells="1">
              <from>
                <xdr:col>17</xdr:col>
                <xdr:colOff>38100</xdr:colOff>
                <xdr:row>7</xdr:row>
                <xdr:rowOff>209550</xdr:rowOff>
              </from>
              <to>
                <xdr:col>17</xdr:col>
                <xdr:colOff>390525</xdr:colOff>
                <xdr:row>8</xdr:row>
                <xdr:rowOff>200025</xdr:rowOff>
              </to>
            </anchor>
          </controlPr>
        </control>
      </mc:Choice>
      <mc:Fallback>
        <control shapeId="6177" r:id="rId54" name="TextBox16"/>
      </mc:Fallback>
    </mc:AlternateContent>
    <mc:AlternateContent xmlns:mc="http://schemas.openxmlformats.org/markup-compatibility/2006">
      <mc:Choice Requires="x14">
        <control shapeId="6178" r:id="rId55" name="TextBox17">
          <controlPr defaultSize="0" autoLine="0" linkedCell="'OTDS Tab Calculations'!C225" r:id="rId37">
            <anchor moveWithCells="1" sizeWithCells="1">
              <from>
                <xdr:col>17</xdr:col>
                <xdr:colOff>38100</xdr:colOff>
                <xdr:row>8</xdr:row>
                <xdr:rowOff>171450</xdr:rowOff>
              </from>
              <to>
                <xdr:col>17</xdr:col>
                <xdr:colOff>390525</xdr:colOff>
                <xdr:row>9</xdr:row>
                <xdr:rowOff>114300</xdr:rowOff>
              </to>
            </anchor>
          </controlPr>
        </control>
      </mc:Choice>
      <mc:Fallback>
        <control shapeId="6178" r:id="rId55" name="TextBox17"/>
      </mc:Fallback>
    </mc:AlternateContent>
    <mc:AlternateContent xmlns:mc="http://schemas.openxmlformats.org/markup-compatibility/2006">
      <mc:Choice Requires="x14">
        <control shapeId="6179" r:id="rId56" name="TextBox18">
          <controlPr defaultSize="0" autoLine="0" linkedCell="'OTDS Tab Calculations'!C226" r:id="rId37">
            <anchor moveWithCells="1" sizeWithCells="1">
              <from>
                <xdr:col>17</xdr:col>
                <xdr:colOff>38100</xdr:colOff>
                <xdr:row>9</xdr:row>
                <xdr:rowOff>85725</xdr:rowOff>
              </from>
              <to>
                <xdr:col>17</xdr:col>
                <xdr:colOff>390525</xdr:colOff>
                <xdr:row>10</xdr:row>
                <xdr:rowOff>104775</xdr:rowOff>
              </to>
            </anchor>
          </controlPr>
        </control>
      </mc:Choice>
      <mc:Fallback>
        <control shapeId="6179" r:id="rId56" name="TextBox18"/>
      </mc:Fallback>
    </mc:AlternateContent>
    <mc:AlternateContent xmlns:mc="http://schemas.openxmlformats.org/markup-compatibility/2006">
      <mc:Choice Requires="x14">
        <control shapeId="6180" r:id="rId57" name="TextBox19">
          <controlPr defaultSize="0" autoLine="0" linkedCell="'OTDS Tab Calculations'!C227" r:id="rId37">
            <anchor moveWithCells="1" sizeWithCells="1">
              <from>
                <xdr:col>17</xdr:col>
                <xdr:colOff>38100</xdr:colOff>
                <xdr:row>10</xdr:row>
                <xdr:rowOff>76200</xdr:rowOff>
              </from>
              <to>
                <xdr:col>17</xdr:col>
                <xdr:colOff>390525</xdr:colOff>
                <xdr:row>11</xdr:row>
                <xdr:rowOff>95250</xdr:rowOff>
              </to>
            </anchor>
          </controlPr>
        </control>
      </mc:Choice>
      <mc:Fallback>
        <control shapeId="6180" r:id="rId57" name="TextBox19"/>
      </mc:Fallback>
    </mc:AlternateContent>
    <mc:AlternateContent xmlns:mc="http://schemas.openxmlformats.org/markup-compatibility/2006">
      <mc:Choice Requires="x14">
        <control shapeId="6181" r:id="rId58" name="TextBox20">
          <controlPr defaultSize="0" autoLine="0" linkedCell="'OTDS Tab Calculations'!C228" r:id="rId37">
            <anchor moveWithCells="1" sizeWithCells="1">
              <from>
                <xdr:col>17</xdr:col>
                <xdr:colOff>38100</xdr:colOff>
                <xdr:row>11</xdr:row>
                <xdr:rowOff>66675</xdr:rowOff>
              </from>
              <to>
                <xdr:col>17</xdr:col>
                <xdr:colOff>390525</xdr:colOff>
                <xdr:row>12</xdr:row>
                <xdr:rowOff>85725</xdr:rowOff>
              </to>
            </anchor>
          </controlPr>
        </control>
      </mc:Choice>
      <mc:Fallback>
        <control shapeId="6181" r:id="rId58" name="TextBox20"/>
      </mc:Fallback>
    </mc:AlternateContent>
    <mc:AlternateContent xmlns:mc="http://schemas.openxmlformats.org/markup-compatibility/2006">
      <mc:Choice Requires="x14">
        <control shapeId="6182" r:id="rId59" name="TextBox21">
          <controlPr defaultSize="0" autoLine="0" linkedCell="'OTDS Tab Calculations'!C229" r:id="rId37">
            <anchor moveWithCells="1" sizeWithCells="1">
              <from>
                <xdr:col>17</xdr:col>
                <xdr:colOff>38100</xdr:colOff>
                <xdr:row>12</xdr:row>
                <xdr:rowOff>57150</xdr:rowOff>
              </from>
              <to>
                <xdr:col>17</xdr:col>
                <xdr:colOff>390525</xdr:colOff>
                <xdr:row>13</xdr:row>
                <xdr:rowOff>47625</xdr:rowOff>
              </to>
            </anchor>
          </controlPr>
        </control>
      </mc:Choice>
      <mc:Fallback>
        <control shapeId="6182" r:id="rId59" name="TextBox21"/>
      </mc:Fallback>
    </mc:AlternateContent>
    <mc:AlternateContent xmlns:mc="http://schemas.openxmlformats.org/markup-compatibility/2006">
      <mc:Choice Requires="x14">
        <control shapeId="6183" r:id="rId60" name="TextBox22">
          <controlPr defaultSize="0" autoLine="0" linkedCell="'OTDS Tab Calculations'!C230" r:id="rId37">
            <anchor moveWithCells="1" sizeWithCells="1">
              <from>
                <xdr:col>17</xdr:col>
                <xdr:colOff>38100</xdr:colOff>
                <xdr:row>13</xdr:row>
                <xdr:rowOff>28575</xdr:rowOff>
              </from>
              <to>
                <xdr:col>17</xdr:col>
                <xdr:colOff>390525</xdr:colOff>
                <xdr:row>14</xdr:row>
                <xdr:rowOff>9525</xdr:rowOff>
              </to>
            </anchor>
          </controlPr>
        </control>
      </mc:Choice>
      <mc:Fallback>
        <control shapeId="6183" r:id="rId60" name="TextBox22"/>
      </mc:Fallback>
    </mc:AlternateContent>
    <mc:AlternateContent xmlns:mc="http://schemas.openxmlformats.org/markup-compatibility/2006">
      <mc:Choice Requires="x14">
        <control shapeId="6292" r:id="rId61" name="ComboBox5">
          <controlPr locked="0" defaultSize="0" autoLine="0" linkedCell="L8" listFillRange="TDS_Dates" r:id="rId62">
            <anchor moveWithCells="1">
              <from>
                <xdr:col>11</xdr:col>
                <xdr:colOff>9525</xdr:colOff>
                <xdr:row>7</xdr:row>
                <xdr:rowOff>9525</xdr:rowOff>
              </from>
              <to>
                <xdr:col>12</xdr:col>
                <xdr:colOff>0</xdr:colOff>
                <xdr:row>8</xdr:row>
                <xdr:rowOff>9525</xdr:rowOff>
              </to>
            </anchor>
          </controlPr>
        </control>
      </mc:Choice>
      <mc:Fallback>
        <control shapeId="6292" r:id="rId61" name="ComboBox5"/>
      </mc:Fallback>
    </mc:AlternateContent>
    <mc:AlternateContent xmlns:mc="http://schemas.openxmlformats.org/markup-compatibility/2006">
      <mc:Choice Requires="x14">
        <control shapeId="6293" r:id="rId63" name="ComboBox6">
          <controlPr locked="0" defaultSize="0" autoLine="0" linkedCell="L15" listFillRange="TDS_Dates" r:id="rId64">
            <anchor moveWithCells="1">
              <from>
                <xdr:col>11</xdr:col>
                <xdr:colOff>0</xdr:colOff>
                <xdr:row>14</xdr:row>
                <xdr:rowOff>0</xdr:rowOff>
              </from>
              <to>
                <xdr:col>11</xdr:col>
                <xdr:colOff>723900</xdr:colOff>
                <xdr:row>14</xdr:row>
                <xdr:rowOff>228600</xdr:rowOff>
              </to>
            </anchor>
          </controlPr>
        </control>
      </mc:Choice>
      <mc:Fallback>
        <control shapeId="6293" r:id="rId63" name="ComboBox6"/>
      </mc:Fallback>
    </mc:AlternateContent>
    <mc:AlternateContent xmlns:mc="http://schemas.openxmlformats.org/markup-compatibility/2006">
      <mc:Choice Requires="x14">
        <control shapeId="6185" r:id="rId65" name="Check Box 41">
          <controlPr locked="0" defaultSize="0" autoFill="0" autoLine="0" autoPict="0">
            <anchor moveWithCells="1">
              <from>
                <xdr:col>1</xdr:col>
                <xdr:colOff>209550</xdr:colOff>
                <xdr:row>4</xdr:row>
                <xdr:rowOff>180975</xdr:rowOff>
              </from>
              <to>
                <xdr:col>1</xdr:col>
                <xdr:colOff>514350</xdr:colOff>
                <xdr:row>6</xdr:row>
                <xdr:rowOff>0</xdr:rowOff>
              </to>
            </anchor>
          </controlPr>
        </control>
      </mc:Choice>
    </mc:AlternateContent>
    <mc:AlternateContent xmlns:mc="http://schemas.openxmlformats.org/markup-compatibility/2006">
      <mc:Choice Requires="x14">
        <control shapeId="6186" r:id="rId66" name="Check Box 42">
          <controlPr locked="0" defaultSize="0" autoFill="0" autoLine="0" autoPict="0">
            <anchor moveWithCells="1">
              <from>
                <xdr:col>2</xdr:col>
                <xdr:colOff>180975</xdr:colOff>
                <xdr:row>4</xdr:row>
                <xdr:rowOff>180975</xdr:rowOff>
              </from>
              <to>
                <xdr:col>2</xdr:col>
                <xdr:colOff>438150</xdr:colOff>
                <xdr:row>5</xdr:row>
                <xdr:rowOff>200025</xdr:rowOff>
              </to>
            </anchor>
          </controlPr>
        </control>
      </mc:Choice>
    </mc:AlternateContent>
    <mc:AlternateContent xmlns:mc="http://schemas.openxmlformats.org/markup-compatibility/2006">
      <mc:Choice Requires="x14">
        <control shapeId="6187" r:id="rId67" name="Check Box 43">
          <controlPr locked="0" defaultSize="0" autoFill="0" autoLine="0" autoPict="0">
            <anchor moveWithCells="1">
              <from>
                <xdr:col>4</xdr:col>
                <xdr:colOff>219075</xdr:colOff>
                <xdr:row>4</xdr:row>
                <xdr:rowOff>180975</xdr:rowOff>
              </from>
              <to>
                <xdr:col>4</xdr:col>
                <xdr:colOff>476250</xdr:colOff>
                <xdr:row>5</xdr:row>
                <xdr:rowOff>200025</xdr:rowOff>
              </to>
            </anchor>
          </controlPr>
        </control>
      </mc:Choice>
    </mc:AlternateContent>
    <mc:AlternateContent xmlns:mc="http://schemas.openxmlformats.org/markup-compatibility/2006">
      <mc:Choice Requires="x14">
        <control shapeId="6188" r:id="rId68" name="Check Box 44">
          <controlPr locked="0" defaultSize="0" autoFill="0" autoLine="0" autoPict="0">
            <anchor moveWithCells="1">
              <from>
                <xdr:col>5</xdr:col>
                <xdr:colOff>200025</xdr:colOff>
                <xdr:row>4</xdr:row>
                <xdr:rowOff>180975</xdr:rowOff>
              </from>
              <to>
                <xdr:col>5</xdr:col>
                <xdr:colOff>457200</xdr:colOff>
                <xdr:row>5</xdr:row>
                <xdr:rowOff>200025</xdr:rowOff>
              </to>
            </anchor>
          </controlPr>
        </control>
      </mc:Choice>
    </mc:AlternateContent>
    <mc:AlternateContent xmlns:mc="http://schemas.openxmlformats.org/markup-compatibility/2006">
      <mc:Choice Requires="x14">
        <control shapeId="6189" r:id="rId69" name="Check Box 45">
          <controlPr locked="0" defaultSize="0" autoFill="0" autoLine="0" autoPict="0">
            <anchor moveWithCells="1">
              <from>
                <xdr:col>7</xdr:col>
                <xdr:colOff>209550</xdr:colOff>
                <xdr:row>4</xdr:row>
                <xdr:rowOff>180975</xdr:rowOff>
              </from>
              <to>
                <xdr:col>7</xdr:col>
                <xdr:colOff>466725</xdr:colOff>
                <xdr:row>5</xdr:row>
                <xdr:rowOff>200025</xdr:rowOff>
              </to>
            </anchor>
          </controlPr>
        </control>
      </mc:Choice>
    </mc:AlternateContent>
    <mc:AlternateContent xmlns:mc="http://schemas.openxmlformats.org/markup-compatibility/2006">
      <mc:Choice Requires="x14">
        <control shapeId="6190" r:id="rId70" name="Check Box 46">
          <controlPr locked="0" defaultSize="0" autoFill="0" autoLine="0" autoPict="0">
            <anchor moveWithCells="1">
              <from>
                <xdr:col>8</xdr:col>
                <xdr:colOff>200025</xdr:colOff>
                <xdr:row>4</xdr:row>
                <xdr:rowOff>180975</xdr:rowOff>
              </from>
              <to>
                <xdr:col>8</xdr:col>
                <xdr:colOff>457200</xdr:colOff>
                <xdr:row>5</xdr:row>
                <xdr:rowOff>200025</xdr:rowOff>
              </to>
            </anchor>
          </controlPr>
        </control>
      </mc:Choice>
    </mc:AlternateContent>
    <mc:AlternateContent xmlns:mc="http://schemas.openxmlformats.org/markup-compatibility/2006">
      <mc:Choice Requires="x14">
        <control shapeId="6191" r:id="rId71" name="Check Box 47">
          <controlPr locked="0" defaultSize="0" autoFill="0" autoLine="0" autoPict="0">
            <anchor moveWithCells="1">
              <from>
                <xdr:col>1</xdr:col>
                <xdr:colOff>190500</xdr:colOff>
                <xdr:row>11</xdr:row>
                <xdr:rowOff>180975</xdr:rowOff>
              </from>
              <to>
                <xdr:col>1</xdr:col>
                <xdr:colOff>495300</xdr:colOff>
                <xdr:row>12</xdr:row>
                <xdr:rowOff>209550</xdr:rowOff>
              </to>
            </anchor>
          </controlPr>
        </control>
      </mc:Choice>
    </mc:AlternateContent>
    <mc:AlternateContent xmlns:mc="http://schemas.openxmlformats.org/markup-compatibility/2006">
      <mc:Choice Requires="x14">
        <control shapeId="6192" r:id="rId72" name="Check Box 48">
          <controlPr locked="0" defaultSize="0" autoFill="0" autoLine="0" autoPict="0">
            <anchor moveWithCells="1">
              <from>
                <xdr:col>2</xdr:col>
                <xdr:colOff>180975</xdr:colOff>
                <xdr:row>12</xdr:row>
                <xdr:rowOff>0</xdr:rowOff>
              </from>
              <to>
                <xdr:col>2</xdr:col>
                <xdr:colOff>438150</xdr:colOff>
                <xdr:row>12</xdr:row>
                <xdr:rowOff>209550</xdr:rowOff>
              </to>
            </anchor>
          </controlPr>
        </control>
      </mc:Choice>
    </mc:AlternateContent>
    <mc:AlternateContent xmlns:mc="http://schemas.openxmlformats.org/markup-compatibility/2006">
      <mc:Choice Requires="x14">
        <control shapeId="6193" r:id="rId73" name="Check Box 49">
          <controlPr locked="0" defaultSize="0" autoFill="0" autoLine="0" autoPict="0">
            <anchor moveWithCells="1">
              <from>
                <xdr:col>4</xdr:col>
                <xdr:colOff>200025</xdr:colOff>
                <xdr:row>12</xdr:row>
                <xdr:rowOff>0</xdr:rowOff>
              </from>
              <to>
                <xdr:col>4</xdr:col>
                <xdr:colOff>457200</xdr:colOff>
                <xdr:row>12</xdr:row>
                <xdr:rowOff>209550</xdr:rowOff>
              </to>
            </anchor>
          </controlPr>
        </control>
      </mc:Choice>
    </mc:AlternateContent>
    <mc:AlternateContent xmlns:mc="http://schemas.openxmlformats.org/markup-compatibility/2006">
      <mc:Choice Requires="x14">
        <control shapeId="6194" r:id="rId74" name="Check Box 50">
          <controlPr locked="0" defaultSize="0" autoFill="0" autoLine="0" autoPict="0">
            <anchor moveWithCells="1">
              <from>
                <xdr:col>5</xdr:col>
                <xdr:colOff>180975</xdr:colOff>
                <xdr:row>12</xdr:row>
                <xdr:rowOff>0</xdr:rowOff>
              </from>
              <to>
                <xdr:col>5</xdr:col>
                <xdr:colOff>438150</xdr:colOff>
                <xdr:row>12</xdr:row>
                <xdr:rowOff>209550</xdr:rowOff>
              </to>
            </anchor>
          </controlPr>
        </control>
      </mc:Choice>
    </mc:AlternateContent>
    <mc:AlternateContent xmlns:mc="http://schemas.openxmlformats.org/markup-compatibility/2006">
      <mc:Choice Requires="x14">
        <control shapeId="6195" r:id="rId75" name="Check Box 51">
          <controlPr locked="0" defaultSize="0" autoFill="0" autoLine="0" autoPict="0">
            <anchor moveWithCells="1">
              <from>
                <xdr:col>7</xdr:col>
                <xdr:colOff>190500</xdr:colOff>
                <xdr:row>12</xdr:row>
                <xdr:rowOff>0</xdr:rowOff>
              </from>
              <to>
                <xdr:col>7</xdr:col>
                <xdr:colOff>447675</xdr:colOff>
                <xdr:row>12</xdr:row>
                <xdr:rowOff>209550</xdr:rowOff>
              </to>
            </anchor>
          </controlPr>
        </control>
      </mc:Choice>
    </mc:AlternateContent>
    <mc:AlternateContent xmlns:mc="http://schemas.openxmlformats.org/markup-compatibility/2006">
      <mc:Choice Requires="x14">
        <control shapeId="6196" r:id="rId76" name="Check Box 52">
          <controlPr locked="0" defaultSize="0" autoFill="0" autoLine="0" autoPict="0">
            <anchor moveWithCells="1">
              <from>
                <xdr:col>8</xdr:col>
                <xdr:colOff>180975</xdr:colOff>
                <xdr:row>12</xdr:row>
                <xdr:rowOff>0</xdr:rowOff>
              </from>
              <to>
                <xdr:col>8</xdr:col>
                <xdr:colOff>438150</xdr:colOff>
                <xdr:row>12</xdr:row>
                <xdr:rowOff>209550</xdr:rowOff>
              </to>
            </anchor>
          </controlPr>
        </control>
      </mc:Choice>
    </mc:AlternateContent>
    <mc:AlternateContent xmlns:mc="http://schemas.openxmlformats.org/markup-compatibility/2006">
      <mc:Choice Requires="x14">
        <control shapeId="6197" r:id="rId77" name="Check Box 53">
          <controlPr locked="0" defaultSize="0" autoFill="0" autoLine="0" autoPict="0">
            <anchor moveWithCells="1">
              <from>
                <xdr:col>10</xdr:col>
                <xdr:colOff>266700</xdr:colOff>
                <xdr:row>4</xdr:row>
                <xdr:rowOff>180975</xdr:rowOff>
              </from>
              <to>
                <xdr:col>10</xdr:col>
                <xdr:colOff>523875</xdr:colOff>
                <xdr:row>5</xdr:row>
                <xdr:rowOff>200025</xdr:rowOff>
              </to>
            </anchor>
          </controlPr>
        </control>
      </mc:Choice>
    </mc:AlternateContent>
    <mc:AlternateContent xmlns:mc="http://schemas.openxmlformats.org/markup-compatibility/2006">
      <mc:Choice Requires="x14">
        <control shapeId="6198" r:id="rId78" name="Check Box 54">
          <controlPr locked="0" defaultSize="0" autoFill="0" autoLine="0" autoPict="0">
            <anchor moveWithCells="1">
              <from>
                <xdr:col>10</xdr:col>
                <xdr:colOff>266700</xdr:colOff>
                <xdr:row>11</xdr:row>
                <xdr:rowOff>180975</xdr:rowOff>
              </from>
              <to>
                <xdr:col>10</xdr:col>
                <xdr:colOff>523875</xdr:colOff>
                <xdr:row>12</xdr:row>
                <xdr:rowOff>200025</xdr:rowOff>
              </to>
            </anchor>
          </controlPr>
        </control>
      </mc:Choice>
    </mc:AlternateContent>
    <mc:AlternateContent xmlns:mc="http://schemas.openxmlformats.org/markup-compatibility/2006">
      <mc:Choice Requires="x14">
        <control shapeId="6206" r:id="rId79" name="Check Box 62">
          <controlPr locked="0" defaultSize="0" autoFill="0" autoLine="0" autoPict="0">
            <anchor moveWithCells="1">
              <from>
                <xdr:col>10</xdr:col>
                <xdr:colOff>257175</xdr:colOff>
                <xdr:row>18</xdr:row>
                <xdr:rowOff>171450</xdr:rowOff>
              </from>
              <to>
                <xdr:col>10</xdr:col>
                <xdr:colOff>561975</xdr:colOff>
                <xdr:row>20</xdr:row>
                <xdr:rowOff>9525</xdr:rowOff>
              </to>
            </anchor>
          </controlPr>
        </control>
      </mc:Choice>
    </mc:AlternateContent>
    <mc:AlternateContent xmlns:mc="http://schemas.openxmlformats.org/markup-compatibility/2006">
      <mc:Choice Requires="x14">
        <control shapeId="6207" r:id="rId80" name="Check Box 63">
          <controlPr locked="0" defaultSize="0" autoFill="0" autoLine="0" autoPict="0">
            <anchor moveWithCells="1">
              <from>
                <xdr:col>7</xdr:col>
                <xdr:colOff>190500</xdr:colOff>
                <xdr:row>18</xdr:row>
                <xdr:rowOff>171450</xdr:rowOff>
              </from>
              <to>
                <xdr:col>7</xdr:col>
                <xdr:colOff>495300</xdr:colOff>
                <xdr:row>20</xdr:row>
                <xdr:rowOff>9525</xdr:rowOff>
              </to>
            </anchor>
          </controlPr>
        </control>
      </mc:Choice>
    </mc:AlternateContent>
    <mc:AlternateContent xmlns:mc="http://schemas.openxmlformats.org/markup-compatibility/2006">
      <mc:Choice Requires="x14">
        <control shapeId="6208" r:id="rId81" name="Check Box 64">
          <controlPr locked="0" defaultSize="0" autoFill="0" autoLine="0" autoPict="0">
            <anchor moveWithCells="1">
              <from>
                <xdr:col>3</xdr:col>
                <xdr:colOff>219075</xdr:colOff>
                <xdr:row>18</xdr:row>
                <xdr:rowOff>171450</xdr:rowOff>
              </from>
              <to>
                <xdr:col>3</xdr:col>
                <xdr:colOff>523875</xdr:colOff>
                <xdr:row>20</xdr:row>
                <xdr:rowOff>9525</xdr:rowOff>
              </to>
            </anchor>
          </controlPr>
        </control>
      </mc:Choice>
    </mc:AlternateContent>
    <mc:AlternateContent xmlns:mc="http://schemas.openxmlformats.org/markup-compatibility/2006">
      <mc:Choice Requires="x14">
        <control shapeId="6145" r:id="rId82" name="Check Box 1">
          <controlPr defaultSize="0" autoFill="0" autoLine="0" autoPict="0">
            <anchor moveWithCells="1" sizeWithCells="1">
              <from>
                <xdr:col>15</xdr:col>
                <xdr:colOff>180975</xdr:colOff>
                <xdr:row>5</xdr:row>
                <xdr:rowOff>66675</xdr:rowOff>
              </from>
              <to>
                <xdr:col>15</xdr:col>
                <xdr:colOff>409575</xdr:colOff>
                <xdr:row>6</xdr:row>
                <xdr:rowOff>95250</xdr:rowOff>
              </to>
            </anchor>
          </controlPr>
        </control>
      </mc:Choice>
    </mc:AlternateContent>
    <mc:AlternateContent xmlns:mc="http://schemas.openxmlformats.org/markup-compatibility/2006">
      <mc:Choice Requires="x14">
        <control shapeId="6147" r:id="rId83" name="Check Box 3">
          <controlPr defaultSize="0" autoFill="0" autoLine="0" autoPict="0">
            <anchor moveWithCells="1" sizeWithCells="1">
              <from>
                <xdr:col>15</xdr:col>
                <xdr:colOff>180975</xdr:colOff>
                <xdr:row>6</xdr:row>
                <xdr:rowOff>38100</xdr:rowOff>
              </from>
              <to>
                <xdr:col>15</xdr:col>
                <xdr:colOff>409575</xdr:colOff>
                <xdr:row>7</xdr:row>
                <xdr:rowOff>66675</xdr:rowOff>
              </to>
            </anchor>
          </controlPr>
        </control>
      </mc:Choice>
    </mc:AlternateContent>
    <mc:AlternateContent xmlns:mc="http://schemas.openxmlformats.org/markup-compatibility/2006">
      <mc:Choice Requires="x14">
        <control shapeId="6148" r:id="rId84" name="Check Box 4">
          <controlPr defaultSize="0" autoFill="0" autoLine="0" autoPict="0">
            <anchor moveWithCells="1" sizeWithCells="1">
              <from>
                <xdr:col>15</xdr:col>
                <xdr:colOff>180975</xdr:colOff>
                <xdr:row>7</xdr:row>
                <xdr:rowOff>0</xdr:rowOff>
              </from>
              <to>
                <xdr:col>15</xdr:col>
                <xdr:colOff>409575</xdr:colOff>
                <xdr:row>8</xdr:row>
                <xdr:rowOff>19050</xdr:rowOff>
              </to>
            </anchor>
          </controlPr>
        </control>
      </mc:Choice>
    </mc:AlternateContent>
    <mc:AlternateContent xmlns:mc="http://schemas.openxmlformats.org/markup-compatibility/2006">
      <mc:Choice Requires="x14">
        <control shapeId="6149" r:id="rId85" name="Check Box 5">
          <controlPr defaultSize="0" autoFill="0" autoLine="0" autoPict="0">
            <anchor moveWithCells="1" sizeWithCells="1">
              <from>
                <xdr:col>15</xdr:col>
                <xdr:colOff>180975</xdr:colOff>
                <xdr:row>7</xdr:row>
                <xdr:rowOff>142875</xdr:rowOff>
              </from>
              <to>
                <xdr:col>15</xdr:col>
                <xdr:colOff>428625</xdr:colOff>
                <xdr:row>8</xdr:row>
                <xdr:rowOff>238125</xdr:rowOff>
              </to>
            </anchor>
          </controlPr>
        </control>
      </mc:Choice>
    </mc:AlternateContent>
    <mc:AlternateContent xmlns:mc="http://schemas.openxmlformats.org/markup-compatibility/2006">
      <mc:Choice Requires="x14">
        <control shapeId="6150" r:id="rId86" name="Check Box 6">
          <controlPr defaultSize="0" autoFill="0" autoLine="0" autoPict="0">
            <anchor moveWithCells="1" sizeWithCells="1">
              <from>
                <xdr:col>15</xdr:col>
                <xdr:colOff>180975</xdr:colOff>
                <xdr:row>8</xdr:row>
                <xdr:rowOff>142875</xdr:rowOff>
              </from>
              <to>
                <xdr:col>15</xdr:col>
                <xdr:colOff>409575</xdr:colOff>
                <xdr:row>9</xdr:row>
                <xdr:rowOff>114300</xdr:rowOff>
              </to>
            </anchor>
          </controlPr>
        </control>
      </mc:Choice>
    </mc:AlternateContent>
    <mc:AlternateContent xmlns:mc="http://schemas.openxmlformats.org/markup-compatibility/2006">
      <mc:Choice Requires="x14">
        <control shapeId="6151" r:id="rId87" name="Check Box 7">
          <controlPr defaultSize="0" autoFill="0" autoLine="0" autoPict="0">
            <anchor moveWithCells="1" sizeWithCells="1">
              <from>
                <xdr:col>15</xdr:col>
                <xdr:colOff>180975</xdr:colOff>
                <xdr:row>9</xdr:row>
                <xdr:rowOff>57150</xdr:rowOff>
              </from>
              <to>
                <xdr:col>15</xdr:col>
                <xdr:colOff>409575</xdr:colOff>
                <xdr:row>10</xdr:row>
                <xdr:rowOff>104775</xdr:rowOff>
              </to>
            </anchor>
          </controlPr>
        </control>
      </mc:Choice>
    </mc:AlternateContent>
    <mc:AlternateContent xmlns:mc="http://schemas.openxmlformats.org/markup-compatibility/2006">
      <mc:Choice Requires="x14">
        <control shapeId="6152" r:id="rId88" name="Check Box 8">
          <controlPr defaultSize="0" autoFill="0" autoLine="0" autoPict="0">
            <anchor moveWithCells="1" sizeWithCells="1">
              <from>
                <xdr:col>15</xdr:col>
                <xdr:colOff>180975</xdr:colOff>
                <xdr:row>10</xdr:row>
                <xdr:rowOff>57150</xdr:rowOff>
              </from>
              <to>
                <xdr:col>15</xdr:col>
                <xdr:colOff>409575</xdr:colOff>
                <xdr:row>11</xdr:row>
                <xdr:rowOff>104775</xdr:rowOff>
              </to>
            </anchor>
          </controlPr>
        </control>
      </mc:Choice>
    </mc:AlternateContent>
    <mc:AlternateContent xmlns:mc="http://schemas.openxmlformats.org/markup-compatibility/2006">
      <mc:Choice Requires="x14">
        <control shapeId="6153" r:id="rId89" name="Check Box 9">
          <controlPr defaultSize="0" autoFill="0" autoLine="0" autoPict="0">
            <anchor moveWithCells="1" sizeWithCells="1">
              <from>
                <xdr:col>15</xdr:col>
                <xdr:colOff>180975</xdr:colOff>
                <xdr:row>11</xdr:row>
                <xdr:rowOff>57150</xdr:rowOff>
              </from>
              <to>
                <xdr:col>15</xdr:col>
                <xdr:colOff>409575</xdr:colOff>
                <xdr:row>12</xdr:row>
                <xdr:rowOff>104775</xdr:rowOff>
              </to>
            </anchor>
          </controlPr>
        </control>
      </mc:Choice>
    </mc:AlternateContent>
    <mc:AlternateContent xmlns:mc="http://schemas.openxmlformats.org/markup-compatibility/2006">
      <mc:Choice Requires="x14">
        <control shapeId="6154" r:id="rId90" name="Check Box 10">
          <controlPr defaultSize="0" autoFill="0" autoLine="0" autoPict="0">
            <anchor moveWithCells="1" sizeWithCells="1">
              <from>
                <xdr:col>15</xdr:col>
                <xdr:colOff>180975</xdr:colOff>
                <xdr:row>12</xdr:row>
                <xdr:rowOff>57150</xdr:rowOff>
              </from>
              <to>
                <xdr:col>15</xdr:col>
                <xdr:colOff>409575</xdr:colOff>
                <xdr:row>13</xdr:row>
                <xdr:rowOff>76200</xdr:rowOff>
              </to>
            </anchor>
          </controlPr>
        </control>
      </mc:Choice>
    </mc:AlternateContent>
    <mc:AlternateContent xmlns:mc="http://schemas.openxmlformats.org/markup-compatibility/2006">
      <mc:Choice Requires="x14">
        <control shapeId="6155" r:id="rId91" name="Check Box 11">
          <controlPr defaultSize="0" autoFill="0" autoLine="0" autoPict="0">
            <anchor moveWithCells="1" sizeWithCells="1">
              <from>
                <xdr:col>15</xdr:col>
                <xdr:colOff>180975</xdr:colOff>
                <xdr:row>13</xdr:row>
                <xdr:rowOff>19050</xdr:rowOff>
              </from>
              <to>
                <xdr:col>15</xdr:col>
                <xdr:colOff>409575</xdr:colOff>
                <xdr:row>14</xdr:row>
                <xdr:rowOff>38100</xdr:rowOff>
              </to>
            </anchor>
          </controlPr>
        </control>
      </mc:Choice>
    </mc:AlternateContent>
    <mc:AlternateContent xmlns:mc="http://schemas.openxmlformats.org/markup-compatibility/2006">
      <mc:Choice Requires="x14">
        <control shapeId="6299" r:id="rId92" name="Check Box 155">
          <controlPr locked="0" defaultSize="0" autoFill="0" autoLine="0" autoPict="0">
            <anchor moveWithCells="1">
              <from>
                <xdr:col>2</xdr:col>
                <xdr:colOff>180975</xdr:colOff>
                <xdr:row>7</xdr:row>
                <xdr:rowOff>9525</xdr:rowOff>
              </from>
              <to>
                <xdr:col>2</xdr:col>
                <xdr:colOff>485775</xdr:colOff>
                <xdr:row>8</xdr:row>
                <xdr:rowOff>0</xdr:rowOff>
              </to>
            </anchor>
          </controlPr>
        </control>
      </mc:Choice>
    </mc:AlternateContent>
    <mc:AlternateContent xmlns:mc="http://schemas.openxmlformats.org/markup-compatibility/2006">
      <mc:Choice Requires="x14">
        <control shapeId="6300" r:id="rId93" name="Check Box 156">
          <controlPr locked="0" defaultSize="0" autoFill="0" autoLine="0" autoPict="0">
            <anchor moveWithCells="1">
              <from>
                <xdr:col>2</xdr:col>
                <xdr:colOff>180975</xdr:colOff>
                <xdr:row>14</xdr:row>
                <xdr:rowOff>9525</xdr:rowOff>
              </from>
              <to>
                <xdr:col>2</xdr:col>
                <xdr:colOff>485775</xdr:colOff>
                <xdr:row>14</xdr:row>
                <xdr:rowOff>228600</xdr:rowOff>
              </to>
            </anchor>
          </controlPr>
        </control>
      </mc:Choice>
    </mc:AlternateContent>
  </controls>
  <webPublishItems count="2">
    <webPublishItem id="24883" divId="Domestic Support Calculator - Version 5.0_24883" sourceType="sheet" destinationFile="\\Gene\gene\Clients\dgrozoub\Docs\Domestic Support Calculator - Version 5.0.mht"/>
    <webPublishItem id="8946" divId="Domestic Support Calculator - Version 5.0_8946" sourceType="sheet" destinationFile="\\GENE\GENE\Clients\dgrozoub\Docs\Page.mht"/>
  </webPublishItem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E44"/>
  <sheetViews>
    <sheetView topLeftCell="A10" zoomScaleNormal="100" workbookViewId="0">
      <selection activeCell="B40" sqref="B40"/>
    </sheetView>
  </sheetViews>
  <sheetFormatPr defaultRowHeight="15" x14ac:dyDescent="0.25"/>
  <cols>
    <col min="1" max="1" width="1" style="58" customWidth="1"/>
    <col min="2" max="2" width="8.7109375" customWidth="1"/>
    <col min="3" max="3" width="13.140625" customWidth="1"/>
    <col min="4" max="4" width="13.7109375" bestFit="1" customWidth="1"/>
    <col min="5" max="13" width="14.42578125" bestFit="1" customWidth="1"/>
    <col min="14" max="16" width="9" style="58"/>
  </cols>
  <sheetData>
    <row r="1" spans="1:57" s="58" customFormat="1" ht="14.45" x14ac:dyDescent="0.5"/>
    <row r="2" spans="1:57" ht="14.45" customHeight="1" x14ac:dyDescent="0.25">
      <c r="B2" s="245" t="s">
        <v>226</v>
      </c>
      <c r="C2" s="245"/>
      <c r="D2" s="245"/>
      <c r="E2" s="245"/>
      <c r="F2" s="113"/>
      <c r="G2" s="248" t="s">
        <v>241</v>
      </c>
      <c r="H2" s="248"/>
      <c r="I2" s="248"/>
      <c r="J2" s="248"/>
      <c r="K2" s="248"/>
      <c r="L2" s="248"/>
      <c r="M2" s="24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row>
    <row r="3" spans="1:57" x14ac:dyDescent="0.25">
      <c r="B3" s="240" t="s">
        <v>227</v>
      </c>
      <c r="C3" s="240"/>
      <c r="D3" s="241"/>
      <c r="E3" s="241"/>
      <c r="F3" s="113"/>
      <c r="G3" s="248"/>
      <c r="H3" s="248"/>
      <c r="I3" s="248"/>
      <c r="J3" s="248"/>
      <c r="K3" s="248"/>
      <c r="L3" s="248"/>
      <c r="M3" s="24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row>
    <row r="4" spans="1:57" x14ac:dyDescent="0.25">
      <c r="B4" s="240" t="s">
        <v>229</v>
      </c>
      <c r="C4" s="240"/>
      <c r="D4" s="246">
        <v>0.06</v>
      </c>
      <c r="E4" s="246"/>
      <c r="F4" s="114"/>
      <c r="G4" s="248"/>
      <c r="H4" s="248"/>
      <c r="I4" s="248"/>
      <c r="J4" s="248"/>
      <c r="K4" s="248"/>
      <c r="L4" s="248"/>
      <c r="M4" s="24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row>
    <row r="5" spans="1:57" x14ac:dyDescent="0.25">
      <c r="B5" s="240" t="s">
        <v>228</v>
      </c>
      <c r="C5" s="240"/>
      <c r="D5" s="246">
        <v>0.04</v>
      </c>
      <c r="E5" s="246"/>
      <c r="F5" s="114"/>
      <c r="G5" s="248"/>
      <c r="H5" s="248"/>
      <c r="I5" s="248"/>
      <c r="J5" s="248"/>
      <c r="K5" s="248"/>
      <c r="L5" s="248"/>
      <c r="M5" s="24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row>
    <row r="6" spans="1:57" x14ac:dyDescent="0.25">
      <c r="B6" s="240" t="s">
        <v>230</v>
      </c>
      <c r="C6" s="240"/>
      <c r="D6" s="247">
        <v>0</v>
      </c>
      <c r="E6" s="247"/>
      <c r="F6" s="115"/>
      <c r="G6" s="248"/>
      <c r="H6" s="248"/>
      <c r="I6" s="248"/>
      <c r="J6" s="248"/>
      <c r="K6" s="248"/>
      <c r="L6" s="248"/>
      <c r="M6" s="24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row>
    <row r="7" spans="1:57" x14ac:dyDescent="0.25">
      <c r="B7" s="240" t="s">
        <v>239</v>
      </c>
      <c r="C7" s="240"/>
      <c r="D7" s="241" t="s">
        <v>170</v>
      </c>
      <c r="E7" s="241"/>
      <c r="F7" s="58"/>
      <c r="G7" s="248"/>
      <c r="H7" s="248"/>
      <c r="I7" s="248"/>
      <c r="J7" s="248"/>
      <c r="K7" s="248"/>
      <c r="L7" s="248"/>
      <c r="M7" s="24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row>
    <row r="8" spans="1:57" s="58" customFormat="1" ht="14.65" thickBot="1" x14ac:dyDescent="0.55000000000000004"/>
    <row r="9" spans="1:57" s="58" customFormat="1" ht="14.45" x14ac:dyDescent="0.5">
      <c r="A9" s="116"/>
      <c r="B9" s="116"/>
      <c r="C9" s="242" t="str">
        <f>"Value of Production Growth Rate: "&amp;IFERROR(IF(VLOOKUP(D3,Machine!B16:D19,2,FALSE)="",'Custom Member Calcs'!O2*100,VLOOKUP(D3,Machine!B16:D19,2,FALSE)*100),'Custom Member Calcs'!O2*100)&amp;"%    |    To adjust, change VoP Growth Rate on Main Page"</f>
        <v>Value of Production Growth Rate: 3%    |    To adjust, change VoP Growth Rate on Main Page</v>
      </c>
      <c r="D9" s="243"/>
      <c r="E9" s="243"/>
      <c r="F9" s="243"/>
      <c r="G9" s="243"/>
      <c r="H9" s="243"/>
      <c r="I9" s="243"/>
      <c r="J9" s="243"/>
      <c r="K9" s="243"/>
      <c r="L9" s="243"/>
      <c r="M9" s="244"/>
    </row>
    <row r="10" spans="1:57" ht="14.45" x14ac:dyDescent="0.5">
      <c r="A10" s="116"/>
      <c r="B10" s="117"/>
      <c r="C10" s="118">
        <v>2006</v>
      </c>
      <c r="D10" s="118">
        <v>2007</v>
      </c>
      <c r="E10" s="118">
        <v>2008</v>
      </c>
      <c r="F10" s="118">
        <v>2009</v>
      </c>
      <c r="G10" s="118">
        <v>2010</v>
      </c>
      <c r="H10" s="118">
        <v>2011</v>
      </c>
      <c r="I10" s="118">
        <v>2012</v>
      </c>
      <c r="J10" s="118">
        <v>2013</v>
      </c>
      <c r="K10" s="118">
        <v>2014</v>
      </c>
      <c r="L10" s="118">
        <v>2015</v>
      </c>
      <c r="M10" s="119">
        <v>2016</v>
      </c>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row>
    <row r="11" spans="1:57" ht="14.45" x14ac:dyDescent="0.5">
      <c r="A11" s="116"/>
      <c r="B11" s="134" t="s">
        <v>231</v>
      </c>
      <c r="C11" s="137"/>
      <c r="D11" s="137"/>
      <c r="E11" s="137"/>
      <c r="F11" s="137"/>
      <c r="G11" s="137"/>
      <c r="H11" s="137"/>
      <c r="I11" s="137"/>
      <c r="J11" s="137"/>
      <c r="K11" s="137"/>
      <c r="L11" s="137"/>
      <c r="M11" s="137"/>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row>
    <row r="12" spans="1:57" s="58" customFormat="1" ht="14.45" x14ac:dyDescent="0.5">
      <c r="A12" s="116"/>
      <c r="B12" s="122" t="s">
        <v>231</v>
      </c>
      <c r="C12" s="136">
        <f>'Custom Member Calcs'!B3</f>
        <v>0</v>
      </c>
      <c r="D12" s="136">
        <f>'Custom Member Calcs'!C3</f>
        <v>0</v>
      </c>
      <c r="E12" s="136">
        <f>'Custom Member Calcs'!D3</f>
        <v>0</v>
      </c>
      <c r="F12" s="136">
        <f>'Custom Member Calcs'!E3</f>
        <v>0</v>
      </c>
      <c r="G12" s="136">
        <f>'Custom Member Calcs'!F3</f>
        <v>0</v>
      </c>
      <c r="H12" s="136">
        <f>'Custom Member Calcs'!G3</f>
        <v>0</v>
      </c>
      <c r="I12" s="136">
        <f>'Custom Member Calcs'!H3</f>
        <v>0</v>
      </c>
      <c r="J12" s="136">
        <f>'Custom Member Calcs'!I3</f>
        <v>0</v>
      </c>
      <c r="K12" s="136">
        <f>'Custom Member Calcs'!J3</f>
        <v>0</v>
      </c>
      <c r="L12" s="136">
        <f>'Custom Member Calcs'!K3</f>
        <v>0</v>
      </c>
      <c r="M12" s="136">
        <f>'Custom Member Calcs'!L3</f>
        <v>0</v>
      </c>
    </row>
    <row r="13" spans="1:57" s="58" customFormat="1" ht="14.65" thickBot="1" x14ac:dyDescent="0.55000000000000004">
      <c r="A13" s="116"/>
      <c r="B13" s="135"/>
      <c r="C13" s="120"/>
      <c r="D13" s="120"/>
      <c r="E13" s="120"/>
      <c r="F13" s="120"/>
      <c r="G13" s="120"/>
      <c r="H13" s="120"/>
      <c r="I13" s="120"/>
      <c r="J13" s="120"/>
      <c r="K13" s="120"/>
      <c r="L13" s="120"/>
      <c r="M13" s="120"/>
    </row>
    <row r="14" spans="1:57" ht="14.45" customHeight="1" x14ac:dyDescent="0.5">
      <c r="A14" s="116"/>
      <c r="B14" s="121"/>
      <c r="C14" s="245" t="str">
        <f>"Trade Distorting Support Growth Rate: "&amp;IFERROR(IF(VLOOKUP(D3,Machine!B16:D19,3,FALSE)="",'Custom Member Calcs'!O6*100,VLOOKUP(D3,Machine!B16:D19,3,FALSE)*100),'Custom Member Calcs'!O6*100)&amp;"%    |    To adjust, change TDS Growth Rate on Main Page       "</f>
        <v xml:space="preserve">Trade Distorting Support Growth Rate: 3%    |    To adjust, change TDS Growth Rate on Main Page       </v>
      </c>
      <c r="D14" s="245"/>
      <c r="E14" s="245"/>
      <c r="F14" s="245"/>
      <c r="G14" s="245"/>
      <c r="H14" s="245"/>
      <c r="I14" s="245"/>
      <c r="J14" s="245"/>
      <c r="K14" s="245"/>
      <c r="L14" s="245"/>
      <c r="M14" s="245"/>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row>
    <row r="15" spans="1:57" ht="14.45" x14ac:dyDescent="0.5">
      <c r="A15" s="116"/>
      <c r="B15" s="117"/>
      <c r="C15" s="122">
        <v>2006</v>
      </c>
      <c r="D15" s="122">
        <v>2007</v>
      </c>
      <c r="E15" s="122">
        <v>2008</v>
      </c>
      <c r="F15" s="122">
        <v>2009</v>
      </c>
      <c r="G15" s="122">
        <v>2010</v>
      </c>
      <c r="H15" s="122">
        <v>2011</v>
      </c>
      <c r="I15" s="122">
        <v>2012</v>
      </c>
      <c r="J15" s="122">
        <v>2013</v>
      </c>
      <c r="K15" s="122">
        <v>2014</v>
      </c>
      <c r="L15" s="122">
        <v>2015</v>
      </c>
      <c r="M15" s="122">
        <v>2016</v>
      </c>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row>
    <row r="16" spans="1:57" ht="14.45" x14ac:dyDescent="0.5">
      <c r="A16" s="116"/>
      <c r="B16" s="138" t="s">
        <v>235</v>
      </c>
      <c r="C16" s="137"/>
      <c r="D16" s="137"/>
      <c r="E16" s="137"/>
      <c r="F16" s="137"/>
      <c r="G16" s="137"/>
      <c r="H16" s="137"/>
      <c r="I16" s="137"/>
      <c r="J16" s="137"/>
      <c r="K16" s="137"/>
      <c r="L16" s="137"/>
      <c r="M16" s="137"/>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row>
    <row r="17" spans="1:57" ht="14.45" x14ac:dyDescent="0.5">
      <c r="A17" s="116"/>
      <c r="B17" s="138" t="s">
        <v>235</v>
      </c>
      <c r="C17" s="136">
        <f>'Custom Member Calcs'!B7</f>
        <v>0</v>
      </c>
      <c r="D17" s="136">
        <f>'Custom Member Calcs'!C7</f>
        <v>0</v>
      </c>
      <c r="E17" s="136">
        <f>'Custom Member Calcs'!D7</f>
        <v>0</v>
      </c>
      <c r="F17" s="136">
        <f>'Custom Member Calcs'!E7</f>
        <v>0</v>
      </c>
      <c r="G17" s="136">
        <f>'Custom Member Calcs'!F7</f>
        <v>0</v>
      </c>
      <c r="H17" s="136">
        <f>'Custom Member Calcs'!G7</f>
        <v>0</v>
      </c>
      <c r="I17" s="136">
        <f>'Custom Member Calcs'!H7</f>
        <v>0</v>
      </c>
      <c r="J17" s="136">
        <f>'Custom Member Calcs'!I7</f>
        <v>0</v>
      </c>
      <c r="K17" s="136">
        <f>'Custom Member Calcs'!J7</f>
        <v>0</v>
      </c>
      <c r="L17" s="136">
        <f>'Custom Member Calcs'!K7</f>
        <v>0</v>
      </c>
      <c r="M17" s="136">
        <f>'Custom Member Calcs'!L7</f>
        <v>0</v>
      </c>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row>
    <row r="18" spans="1:57" ht="14.45" x14ac:dyDescent="0.5">
      <c r="A18" s="116"/>
      <c r="B18" s="123"/>
      <c r="C18" s="120"/>
      <c r="D18" s="120"/>
      <c r="E18" s="120"/>
      <c r="F18" s="120"/>
      <c r="G18" s="120"/>
      <c r="H18" s="120"/>
      <c r="I18" s="120"/>
      <c r="J18" s="120"/>
      <c r="K18" s="120"/>
      <c r="L18" s="120"/>
      <c r="M18" s="124"/>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row>
    <row r="19" spans="1:57" x14ac:dyDescent="0.25">
      <c r="A19" s="116"/>
      <c r="B19" s="117"/>
      <c r="C19" s="122">
        <v>2006</v>
      </c>
      <c r="D19" s="122">
        <v>2007</v>
      </c>
      <c r="E19" s="122">
        <v>2008</v>
      </c>
      <c r="F19" s="122">
        <v>2009</v>
      </c>
      <c r="G19" s="122">
        <v>2010</v>
      </c>
      <c r="H19" s="122">
        <v>2011</v>
      </c>
      <c r="I19" s="122">
        <v>2012</v>
      </c>
      <c r="J19" s="122">
        <v>2013</v>
      </c>
      <c r="K19" s="122">
        <v>2014</v>
      </c>
      <c r="L19" s="122">
        <v>2015</v>
      </c>
      <c r="M19" s="122">
        <v>2016</v>
      </c>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row>
    <row r="20" spans="1:57" x14ac:dyDescent="0.25">
      <c r="A20" s="116"/>
      <c r="B20" s="125" t="s">
        <v>189</v>
      </c>
      <c r="C20" s="137"/>
      <c r="D20" s="137"/>
      <c r="E20" s="137"/>
      <c r="F20" s="137"/>
      <c r="G20" s="137"/>
      <c r="H20" s="137"/>
      <c r="I20" s="137"/>
      <c r="J20" s="137"/>
      <c r="K20" s="137"/>
      <c r="L20" s="137"/>
      <c r="M20" s="137"/>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row>
    <row r="21" spans="1:57" x14ac:dyDescent="0.25">
      <c r="A21" s="116"/>
      <c r="B21" s="125" t="s">
        <v>189</v>
      </c>
      <c r="C21" s="136">
        <f>'Custom Member Calcs'!B10</f>
        <v>0</v>
      </c>
      <c r="D21" s="136">
        <f>'Custom Member Calcs'!C10</f>
        <v>0</v>
      </c>
      <c r="E21" s="136">
        <f>'Custom Member Calcs'!D10</f>
        <v>0</v>
      </c>
      <c r="F21" s="136">
        <f>'Custom Member Calcs'!E10</f>
        <v>0</v>
      </c>
      <c r="G21" s="136">
        <f>'Custom Member Calcs'!F10</f>
        <v>0</v>
      </c>
      <c r="H21" s="136">
        <f>'Custom Member Calcs'!G10</f>
        <v>0</v>
      </c>
      <c r="I21" s="136">
        <f>'Custom Member Calcs'!H10</f>
        <v>0</v>
      </c>
      <c r="J21" s="136">
        <f>'Custom Member Calcs'!I10</f>
        <v>0</v>
      </c>
      <c r="K21" s="136">
        <f>'Custom Member Calcs'!J10</f>
        <v>0</v>
      </c>
      <c r="L21" s="136">
        <f>'Custom Member Calcs'!K10</f>
        <v>0</v>
      </c>
      <c r="M21" s="136">
        <f>'Custom Member Calcs'!L10</f>
        <v>0</v>
      </c>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row>
    <row r="22" spans="1:57" x14ac:dyDescent="0.25">
      <c r="A22" s="116"/>
      <c r="B22" s="123"/>
      <c r="C22" s="120"/>
      <c r="D22" s="120"/>
      <c r="E22" s="120"/>
      <c r="F22" s="120"/>
      <c r="G22" s="120"/>
      <c r="H22" s="120"/>
      <c r="I22" s="120"/>
      <c r="J22" s="120"/>
      <c r="K22" s="120"/>
      <c r="L22" s="120"/>
      <c r="M22" s="124"/>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row>
    <row r="23" spans="1:57" x14ac:dyDescent="0.25">
      <c r="A23" s="116"/>
      <c r="B23" s="117"/>
      <c r="C23" s="122">
        <v>2006</v>
      </c>
      <c r="D23" s="122">
        <v>2007</v>
      </c>
      <c r="E23" s="122">
        <v>2008</v>
      </c>
      <c r="F23" s="122">
        <v>2009</v>
      </c>
      <c r="G23" s="122">
        <v>2010</v>
      </c>
      <c r="H23" s="122">
        <v>2011</v>
      </c>
      <c r="I23" s="122">
        <v>2012</v>
      </c>
      <c r="J23" s="122">
        <v>2013</v>
      </c>
      <c r="K23" s="122">
        <v>2014</v>
      </c>
      <c r="L23" s="122">
        <v>2015</v>
      </c>
      <c r="M23" s="122">
        <v>2016</v>
      </c>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row>
    <row r="24" spans="1:57" x14ac:dyDescent="0.25">
      <c r="A24" s="116"/>
      <c r="B24" s="125" t="s">
        <v>190</v>
      </c>
      <c r="C24" s="137"/>
      <c r="D24" s="137"/>
      <c r="E24" s="137"/>
      <c r="F24" s="137"/>
      <c r="G24" s="137"/>
      <c r="H24" s="137"/>
      <c r="I24" s="137"/>
      <c r="J24" s="137"/>
      <c r="K24" s="137"/>
      <c r="L24" s="137"/>
      <c r="M24" s="137"/>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row>
    <row r="25" spans="1:57" x14ac:dyDescent="0.25">
      <c r="A25" s="116"/>
      <c r="B25" s="125" t="s">
        <v>190</v>
      </c>
      <c r="C25" s="136">
        <f>'Custom Member Calcs'!B13</f>
        <v>0</v>
      </c>
      <c r="D25" s="136">
        <f>'Custom Member Calcs'!C13</f>
        <v>0</v>
      </c>
      <c r="E25" s="136">
        <f>'Custom Member Calcs'!D13</f>
        <v>0</v>
      </c>
      <c r="F25" s="136">
        <f>'Custom Member Calcs'!E13</f>
        <v>0</v>
      </c>
      <c r="G25" s="136">
        <f>'Custom Member Calcs'!F13</f>
        <v>0</v>
      </c>
      <c r="H25" s="136">
        <f>'Custom Member Calcs'!G13</f>
        <v>0</v>
      </c>
      <c r="I25" s="136">
        <f>'Custom Member Calcs'!H13</f>
        <v>0</v>
      </c>
      <c r="J25" s="136">
        <f>'Custom Member Calcs'!I13</f>
        <v>0</v>
      </c>
      <c r="K25" s="136">
        <f>'Custom Member Calcs'!J13</f>
        <v>0</v>
      </c>
      <c r="L25" s="136">
        <f>'Custom Member Calcs'!K13</f>
        <v>0</v>
      </c>
      <c r="M25" s="136">
        <f>'Custom Member Calcs'!L13</f>
        <v>0</v>
      </c>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row>
    <row r="26" spans="1:57" x14ac:dyDescent="0.25">
      <c r="A26" s="116"/>
      <c r="B26" s="123"/>
      <c r="C26" s="120"/>
      <c r="D26" s="120"/>
      <c r="E26" s="120"/>
      <c r="F26" s="120"/>
      <c r="G26" s="120"/>
      <c r="H26" s="120"/>
      <c r="I26" s="120"/>
      <c r="J26" s="120"/>
      <c r="K26" s="120"/>
      <c r="L26" s="120"/>
      <c r="M26" s="124"/>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row>
    <row r="27" spans="1:57" x14ac:dyDescent="0.25">
      <c r="A27" s="116"/>
      <c r="B27" s="117"/>
      <c r="C27" s="122">
        <v>2006</v>
      </c>
      <c r="D27" s="122">
        <v>2007</v>
      </c>
      <c r="E27" s="122">
        <v>2008</v>
      </c>
      <c r="F27" s="122">
        <v>2009</v>
      </c>
      <c r="G27" s="122">
        <v>2010</v>
      </c>
      <c r="H27" s="122">
        <v>2011</v>
      </c>
      <c r="I27" s="122">
        <v>2012</v>
      </c>
      <c r="J27" s="122">
        <v>2013</v>
      </c>
      <c r="K27" s="122">
        <v>2014</v>
      </c>
      <c r="L27" s="122">
        <v>2015</v>
      </c>
      <c r="M27" s="122">
        <v>2016</v>
      </c>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row>
    <row r="28" spans="1:57" x14ac:dyDescent="0.25">
      <c r="A28" s="116"/>
      <c r="B28" s="134" t="s">
        <v>191</v>
      </c>
      <c r="C28" s="137"/>
      <c r="D28" s="137"/>
      <c r="E28" s="137"/>
      <c r="F28" s="137"/>
      <c r="G28" s="137"/>
      <c r="H28" s="137"/>
      <c r="I28" s="137"/>
      <c r="J28" s="137"/>
      <c r="K28" s="137"/>
      <c r="L28" s="137"/>
      <c r="M28" s="137"/>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row>
    <row r="29" spans="1:57" s="58" customFormat="1" x14ac:dyDescent="0.25">
      <c r="B29" s="122" t="s">
        <v>191</v>
      </c>
      <c r="C29" s="136">
        <f>'Custom Member Calcs'!B16</f>
        <v>0</v>
      </c>
      <c r="D29" s="136">
        <f>'Custom Member Calcs'!C16</f>
        <v>0</v>
      </c>
      <c r="E29" s="136">
        <f>'Custom Member Calcs'!D16</f>
        <v>0</v>
      </c>
      <c r="F29" s="136">
        <f>'Custom Member Calcs'!E16</f>
        <v>0</v>
      </c>
      <c r="G29" s="136">
        <f>'Custom Member Calcs'!F16</f>
        <v>0</v>
      </c>
      <c r="H29" s="136">
        <f>'Custom Member Calcs'!G16</f>
        <v>0</v>
      </c>
      <c r="I29" s="136">
        <f>'Custom Member Calcs'!H16</f>
        <v>0</v>
      </c>
      <c r="J29" s="136">
        <f>'Custom Member Calcs'!I16</f>
        <v>0</v>
      </c>
      <c r="K29" s="136">
        <f>'Custom Member Calcs'!J16</f>
        <v>0</v>
      </c>
      <c r="L29" s="136">
        <f>'Custom Member Calcs'!K16</f>
        <v>0</v>
      </c>
      <c r="M29" s="136">
        <f>'Custom Member Calcs'!L16</f>
        <v>0</v>
      </c>
    </row>
    <row r="30" spans="1:57" s="58" customFormat="1" x14ac:dyDescent="0.25"/>
    <row r="31" spans="1:57" s="58" customFormat="1" x14ac:dyDescent="0.25"/>
    <row r="32" spans="1:57" s="58" customFormat="1" x14ac:dyDescent="0.25"/>
    <row r="33" spans="2:6" s="58" customFormat="1" ht="13.7" customHeight="1" x14ac:dyDescent="0.25"/>
    <row r="34" spans="2:6" s="58" customFormat="1" x14ac:dyDescent="0.25">
      <c r="C34" s="148"/>
      <c r="D34" s="148"/>
      <c r="E34" s="148"/>
      <c r="F34" s="148"/>
    </row>
    <row r="35" spans="2:6" s="58" customFormat="1" ht="15.75" thickBot="1" x14ac:dyDescent="0.3">
      <c r="C35" s="156"/>
      <c r="D35" s="157"/>
    </row>
    <row r="36" spans="2:6" s="58" customFormat="1" x14ac:dyDescent="0.25"/>
    <row r="37" spans="2:6" s="58" customFormat="1" x14ac:dyDescent="0.25"/>
    <row r="38" spans="2:6" s="58" customFormat="1" x14ac:dyDescent="0.25"/>
    <row r="39" spans="2:6" s="58" customFormat="1" x14ac:dyDescent="0.25"/>
    <row r="40" spans="2:6" s="58" customFormat="1" x14ac:dyDescent="0.25">
      <c r="B40" s="58" t="str">
        <f>IF(D3="","Custom",D3)&amp;":"</f>
        <v>Custom:</v>
      </c>
    </row>
    <row r="41" spans="2:6" s="58" customFormat="1" x14ac:dyDescent="0.25"/>
    <row r="42" spans="2:6" s="58" customFormat="1" x14ac:dyDescent="0.25"/>
    <row r="43" spans="2:6" s="58" customFormat="1" x14ac:dyDescent="0.25"/>
    <row r="44" spans="2:6" s="58" customFormat="1" x14ac:dyDescent="0.25"/>
  </sheetData>
  <mergeCells count="14">
    <mergeCell ref="B7:C7"/>
    <mergeCell ref="D7:E7"/>
    <mergeCell ref="C9:M9"/>
    <mergeCell ref="C14:M14"/>
    <mergeCell ref="B2:E2"/>
    <mergeCell ref="D3:E3"/>
    <mergeCell ref="D4:E4"/>
    <mergeCell ref="D5:E5"/>
    <mergeCell ref="D6:E6"/>
    <mergeCell ref="B3:C3"/>
    <mergeCell ref="B4:C4"/>
    <mergeCell ref="B5:C5"/>
    <mergeCell ref="B6:C6"/>
    <mergeCell ref="G2:M7"/>
  </mergeCells>
  <dataValidations count="1">
    <dataValidation type="list" allowBlank="1" showInputMessage="1" showErrorMessage="1" errorTitle="Invalid Status" error="Please select either &quot;Developing&quot; or &quot;Developed&quot;. " sqref="D7:E7">
      <formula1>DevDev</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43</vt:i4>
      </vt:variant>
    </vt:vector>
  </HeadingPairs>
  <TitlesOfParts>
    <vt:vector size="64" baseType="lpstr">
      <vt:lpstr>Machine</vt:lpstr>
      <vt:lpstr>OTDS Tab Calculations</vt:lpstr>
      <vt:lpstr>Machine Calculations</vt:lpstr>
      <vt:lpstr>DS Calculations</vt:lpstr>
      <vt:lpstr>VoP Calculations</vt:lpstr>
      <vt:lpstr>Printing</vt:lpstr>
      <vt:lpstr>Custom Member Calcs</vt:lpstr>
      <vt:lpstr>OTDS</vt:lpstr>
      <vt:lpstr>Custom Member Setup</vt:lpstr>
      <vt:lpstr>VoP Records</vt:lpstr>
      <vt:lpstr>DM+AMS Records</vt:lpstr>
      <vt:lpstr>TDS Records</vt:lpstr>
      <vt:lpstr>TDS Calculations</vt:lpstr>
      <vt:lpstr>Member Limits</vt:lpstr>
      <vt:lpstr>2010 Data</vt:lpstr>
      <vt:lpstr>Lists</vt:lpstr>
      <vt:lpstr>Sheet2</vt:lpstr>
      <vt:lpstr>Currency Conversion</vt:lpstr>
      <vt:lpstr>PS</vt:lpstr>
      <vt:lpstr>VoPs Reference</vt:lpstr>
      <vt:lpstr>Notes</vt:lpstr>
      <vt:lpstr>AMS_DM_Spending</vt:lpstr>
      <vt:lpstr>AMS_Limits</vt:lpstr>
      <vt:lpstr>AMSMod</vt:lpstr>
      <vt:lpstr>Article_62_Spending</vt:lpstr>
      <vt:lpstr>Average_VoP</vt:lpstr>
      <vt:lpstr>Blue_Box_Spending</vt:lpstr>
      <vt:lpstr>Common_Growth_Rates</vt:lpstr>
      <vt:lpstr>Custom_Growth_Rates</vt:lpstr>
      <vt:lpstr>Date_Range_Limits</vt:lpstr>
      <vt:lpstr>DDComp1</vt:lpstr>
      <vt:lpstr>DDComp2</vt:lpstr>
      <vt:lpstr>DDComp3</vt:lpstr>
      <vt:lpstr>DevDev</vt:lpstr>
      <vt:lpstr>Developed</vt:lpstr>
      <vt:lpstr>Developing</vt:lpstr>
      <vt:lpstr>DMMod</vt:lpstr>
      <vt:lpstr>Four_Way_Subtraction</vt:lpstr>
      <vt:lpstr>FrequencyBox</vt:lpstr>
      <vt:lpstr>GrowthRates_and_Limits</vt:lpstr>
      <vt:lpstr>Intervals_Developed</vt:lpstr>
      <vt:lpstr>Intervals_Developing</vt:lpstr>
      <vt:lpstr>Limits_Dates</vt:lpstr>
      <vt:lpstr>Member_Limits</vt:lpstr>
      <vt:lpstr>Members</vt:lpstr>
      <vt:lpstr>MiscMod</vt:lpstr>
      <vt:lpstr>Mod_AoA_1</vt:lpstr>
      <vt:lpstr>Mod_AoA_2</vt:lpstr>
      <vt:lpstr>OTDS_AMS_DM_Spending</vt:lpstr>
      <vt:lpstr>OTDS_Article62_Spending</vt:lpstr>
      <vt:lpstr>OTDS_BlueBox_Spending</vt:lpstr>
      <vt:lpstr>Machine!Print_Area</vt:lpstr>
      <vt:lpstr>PS!Print_Area</vt:lpstr>
      <vt:lpstr>Reference_Year</vt:lpstr>
      <vt:lpstr>ShowHide</vt:lpstr>
      <vt:lpstr>TDS_Dates</vt:lpstr>
      <vt:lpstr>TDS_Growth_Rate</vt:lpstr>
      <vt:lpstr>TDS_Spending</vt:lpstr>
      <vt:lpstr>VoP</vt:lpstr>
      <vt:lpstr>VoP_Growth_Rate</vt:lpstr>
      <vt:lpstr>VoP_Growth_Rates</vt:lpstr>
      <vt:lpstr>VoP_OTDS</vt:lpstr>
      <vt:lpstr>VoP_Records</vt:lpstr>
      <vt:lpstr>YesNo</vt:lpstr>
    </vt:vector>
  </TitlesOfParts>
  <Company>Department of Foreign Affairs and Trade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OTDS Web Page Test</dc:title>
  <dc:creator>Grozoubinski, Dmitry</dc:creator>
  <cp:lastModifiedBy>Grozoubinski, Dmitry</cp:lastModifiedBy>
  <cp:lastPrinted>2016-12-13T16:15:55Z</cp:lastPrinted>
  <dcterms:created xsi:type="dcterms:W3CDTF">2016-08-02T12:04:57Z</dcterms:created>
  <dcterms:modified xsi:type="dcterms:W3CDTF">2017-03-07T20:22:27Z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65d6bd18-4ef3-4348-9502-c5e048b1fa97</vt:lpwstr>
  </property>
  <property fmtid="{D5CDD505-2E9C-101B-9397-08002B2CF9AE}" pid="3" name="SEC">
    <vt:lpwstr>UNCLASSIFIED</vt:lpwstr>
  </property>
  <property fmtid="{D5CDD505-2E9C-101B-9397-08002B2CF9AE}" pid="4" name="DLM">
    <vt:lpwstr>No DLM</vt:lpwstr>
  </property>
</Properties>
</file>